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000003917/Desktop/"/>
    </mc:Choice>
  </mc:AlternateContent>
  <xr:revisionPtr revIDLastSave="0" documentId="13_ncr:1_{698FF8E5-0B4D-544B-8910-00651050B6C6}" xr6:coauthVersionLast="36" xr6:coauthVersionMax="45" xr10:uidLastSave="{00000000-0000-0000-0000-000000000000}"/>
  <bookViews>
    <workbookView xWindow="7060" yWindow="460" windowWidth="18540" windowHeight="13780" tabRatio="858" xr2:uid="{00000000-000D-0000-FFFF-FFFF00000000}"/>
  </bookViews>
  <sheets>
    <sheet name="FY22 Budget Summary" sheetId="33" r:id="rId1"/>
    <sheet name="Prelim changes" sheetId="34" state="hidden" r:id="rId2"/>
    <sheet name="GH Notes" sheetId="32" state="hidden" r:id="rId3"/>
  </sheets>
  <definedNames>
    <definedName name="_xlnm.Print_Area" localSheetId="0">'FY22 Budget Summary'!$A$1:$J$56</definedName>
  </definedName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1" i="33" l="1"/>
  <c r="I8" i="33"/>
  <c r="F51" i="33"/>
  <c r="F8" i="33"/>
  <c r="C51" i="33"/>
  <c r="C8" i="33"/>
  <c r="C43" i="33" l="1"/>
  <c r="I55" i="33"/>
  <c r="I56" i="33" s="1"/>
  <c r="F55" i="33"/>
  <c r="F56" i="33" s="1"/>
  <c r="C55" i="33"/>
  <c r="C56" i="33" s="1"/>
  <c r="I23" i="33"/>
  <c r="I47" i="33" s="1"/>
  <c r="I48" i="33" s="1"/>
  <c r="I34" i="33"/>
  <c r="F23" i="33"/>
  <c r="F47" i="33" s="1"/>
  <c r="F48" i="33" s="1"/>
  <c r="F34" i="33"/>
  <c r="C23" i="33"/>
  <c r="C46" i="33"/>
  <c r="A49" i="32"/>
  <c r="A50" i="32"/>
  <c r="A51" i="32"/>
  <c r="G49" i="32" s="1"/>
  <c r="A53" i="32"/>
  <c r="A52" i="32"/>
  <c r="A48" i="32"/>
  <c r="A54" i="32" s="1"/>
  <c r="A4" i="32"/>
  <c r="A5" i="32"/>
  <c r="A6" i="32"/>
  <c r="A9" i="32"/>
  <c r="A10" i="32"/>
  <c r="A11" i="32"/>
  <c r="A12" i="32"/>
  <c r="A16" i="32" s="1"/>
  <c r="A13" i="32"/>
  <c r="A14" i="32"/>
  <c r="A15" i="32"/>
  <c r="A20" i="32"/>
  <c r="A26" i="32" s="1"/>
  <c r="A21" i="32"/>
  <c r="A23" i="32"/>
  <c r="A24" i="32"/>
  <c r="A25" i="32"/>
  <c r="A29" i="32"/>
  <c r="A30" i="32"/>
  <c r="A31" i="32"/>
  <c r="A33" i="32" s="1"/>
  <c r="A32" i="32"/>
  <c r="A36" i="32"/>
  <c r="A45" i="32" s="1"/>
  <c r="A37" i="32"/>
  <c r="A38" i="32"/>
  <c r="A39" i="32"/>
  <c r="A40" i="32"/>
  <c r="A41" i="32"/>
  <c r="A42" i="32"/>
  <c r="A43" i="32"/>
  <c r="A44" i="32"/>
  <c r="A59" i="32"/>
  <c r="A63" i="32"/>
  <c r="A57" i="32" l="1"/>
  <c r="A60" i="32" s="1"/>
  <c r="A61" i="32" s="1"/>
  <c r="C47" i="33"/>
  <c r="C48" i="33" s="1"/>
</calcChain>
</file>

<file path=xl/sharedStrings.xml><?xml version="1.0" encoding="utf-8"?>
<sst xmlns="http://schemas.openxmlformats.org/spreadsheetml/2006/main" count="141" uniqueCount="108">
  <si>
    <t xml:space="preserve">COMMENTS                                  </t>
  </si>
  <si>
    <t>Regular Teachers</t>
  </si>
  <si>
    <t>Master Teachers</t>
  </si>
  <si>
    <t>Education Assistants</t>
  </si>
  <si>
    <t>Tutoring</t>
  </si>
  <si>
    <t>Substitute Teachers</t>
  </si>
  <si>
    <t>Instructional Supplies &amp; Materials</t>
  </si>
  <si>
    <t xml:space="preserve">Other Charges </t>
  </si>
  <si>
    <t>Equipment</t>
  </si>
  <si>
    <t>Subtotal</t>
  </si>
  <si>
    <t>Guidance Counselor</t>
  </si>
  <si>
    <t>Technician</t>
  </si>
  <si>
    <t>Social Worker</t>
  </si>
  <si>
    <t>Stipends</t>
  </si>
  <si>
    <t xml:space="preserve">Prof Dev't </t>
  </si>
  <si>
    <t>Contract w/ Vehicle Owner</t>
  </si>
  <si>
    <t>FCE Supplies &amp; Materials</t>
  </si>
  <si>
    <t>FCE Other Charges (Food, Speakers)</t>
  </si>
  <si>
    <t>FCE Equipment</t>
  </si>
  <si>
    <t>TOTAL</t>
  </si>
  <si>
    <t>Jan 24, 2017 - Remaining Funds</t>
  </si>
  <si>
    <r>
      <t xml:space="preserve">Funds Spent &amp; </t>
    </r>
    <r>
      <rPr>
        <b/>
        <sz val="10"/>
        <color rgb="FF0432FF"/>
        <rFont val="Tahoma"/>
        <family val="2"/>
      </rPr>
      <t>Encumbered</t>
    </r>
  </si>
  <si>
    <t>PERSONNEL</t>
  </si>
  <si>
    <t>COACH</t>
  </si>
  <si>
    <t>STIPENDS</t>
  </si>
  <si>
    <t>SUBS</t>
  </si>
  <si>
    <t>3 full days Feb 8-10</t>
  </si>
  <si>
    <t>3 full days Feb 27</t>
  </si>
  <si>
    <t>2 full days Mar 1</t>
  </si>
  <si>
    <t>5 full days mar 3: Ron Clark</t>
  </si>
  <si>
    <t>4 full days Mar 6</t>
  </si>
  <si>
    <t>27 days</t>
  </si>
  <si>
    <t>MATERIALS</t>
  </si>
  <si>
    <t>#3310</t>
  </si>
  <si>
    <t>PBIS Incentives</t>
  </si>
  <si>
    <t>#3311</t>
  </si>
  <si>
    <t>#3317</t>
  </si>
  <si>
    <t>materials</t>
  </si>
  <si>
    <t>GH - missing anything else?</t>
  </si>
  <si>
    <t>#3319 (Sensory Items)</t>
  </si>
  <si>
    <t xml:space="preserve">SPED </t>
  </si>
  <si>
    <t>#3372</t>
  </si>
  <si>
    <t>children books</t>
  </si>
  <si>
    <t>FIELD TRIPS</t>
  </si>
  <si>
    <t>Feb 15 - G2</t>
  </si>
  <si>
    <t>Mar 8: American Musuem of Sci &amp; Energy G4</t>
  </si>
  <si>
    <t>What is April 21 event?</t>
  </si>
  <si>
    <t>Mayfield Dairy Farms - May 9</t>
  </si>
  <si>
    <t>PD</t>
  </si>
  <si>
    <t>RC - Regis for 5.  Mar 3</t>
  </si>
  <si>
    <t>RC: 3 rooms @ 1 night</t>
  </si>
  <si>
    <t>RC: Food</t>
  </si>
  <si>
    <t>RC: Mileage</t>
  </si>
  <si>
    <t>Julia Farmer: Space Exploration Educator Conf.  Flight  Feb 8-10</t>
  </si>
  <si>
    <t>Engaging Students w Poverty in Mind - PD Books</t>
  </si>
  <si>
    <t>How to Differentiate Instruction  - PD Books</t>
  </si>
  <si>
    <t>Moe's - End of Year Planning Date</t>
  </si>
  <si>
    <t>TRANSPORTATION</t>
  </si>
  <si>
    <t>Feb 15 The Muse</t>
  </si>
  <si>
    <t>Mar 8 : Musuem</t>
  </si>
  <si>
    <t>Mar 24: Oak Ridgle Lab</t>
  </si>
  <si>
    <t>April 21 @ ??</t>
  </si>
  <si>
    <t>May 9 - Mayfield Dairy</t>
  </si>
  <si>
    <t>SUBTOTAL excl Equipment</t>
  </si>
  <si>
    <t>EQUIPMENT</t>
  </si>
  <si>
    <t>TRS TBD</t>
  </si>
  <si>
    <t>TOTAL BUDGET</t>
  </si>
  <si>
    <t>Lead Teachers</t>
  </si>
  <si>
    <t>Lead Teacher Supplements</t>
  </si>
  <si>
    <t>Master Teacher Supplements</t>
  </si>
  <si>
    <t>Coaches</t>
  </si>
  <si>
    <t>Coach Supplements</t>
  </si>
  <si>
    <r>
      <t xml:space="preserve">UNDER / </t>
    </r>
    <r>
      <rPr>
        <b/>
        <sz val="10"/>
        <color indexed="10"/>
        <rFont val="Calibri"/>
        <family val="2"/>
        <scheme val="minor"/>
      </rPr>
      <t>OVER</t>
    </r>
    <r>
      <rPr>
        <b/>
        <sz val="10"/>
        <rFont val="Calibri"/>
        <family val="2"/>
        <scheme val="minor"/>
      </rPr>
      <t xml:space="preserve"> BUDGET</t>
    </r>
  </si>
  <si>
    <t>PRELIMINARY BUDGET</t>
  </si>
  <si>
    <t>FINAL BUDGET</t>
  </si>
  <si>
    <t>REVISED BUDGET</t>
  </si>
  <si>
    <t>Other (Coordinators, Nurses)</t>
  </si>
  <si>
    <t>Assistant Principals/A.A.'s</t>
  </si>
  <si>
    <t>ALLOCATION</t>
  </si>
  <si>
    <r>
      <t xml:space="preserve">72130 - </t>
    </r>
    <r>
      <rPr>
        <b/>
        <sz val="10"/>
        <color theme="1"/>
        <rFont val="Calibri"/>
        <family val="2"/>
        <scheme val="minor"/>
      </rPr>
      <t>OTHER STUD. SUPP. SRVC.</t>
    </r>
  </si>
  <si>
    <r>
      <t xml:space="preserve">72210 - </t>
    </r>
    <r>
      <rPr>
        <b/>
        <sz val="10"/>
        <color theme="1"/>
        <rFont val="Calibri"/>
        <family val="2"/>
        <scheme val="minor"/>
      </rPr>
      <t>REG INSTR PROGRAM SUPPORT</t>
    </r>
  </si>
  <si>
    <r>
      <t xml:space="preserve">71100 - </t>
    </r>
    <r>
      <rPr>
        <b/>
        <sz val="10"/>
        <color theme="1"/>
        <rFont val="Calibri"/>
        <family val="2"/>
        <scheme val="minor"/>
      </rPr>
      <t>REGULAR INSTRUCTION</t>
    </r>
  </si>
  <si>
    <r>
      <t xml:space="preserve">72710 - </t>
    </r>
    <r>
      <rPr>
        <b/>
        <sz val="10"/>
        <color theme="1"/>
        <rFont val="Calibri"/>
        <family val="2"/>
        <scheme val="minor"/>
      </rPr>
      <t>TRANSPORTATION</t>
    </r>
  </si>
  <si>
    <t>TOTAL TITLE I BUDGET</t>
  </si>
  <si>
    <t>TOTAL FCE BUDGET</t>
  </si>
  <si>
    <t>Time Card Position</t>
  </si>
  <si>
    <t>Behavior/Restorative Interventionist</t>
  </si>
  <si>
    <t>FCE ALLOCATION</t>
  </si>
  <si>
    <t>TITLE I</t>
  </si>
  <si>
    <t>FCE</t>
  </si>
  <si>
    <t>Regular Allocation:</t>
  </si>
  <si>
    <t>FCE Allocation:</t>
  </si>
  <si>
    <t xml:space="preserve">Completion date: </t>
  </si>
  <si>
    <r>
      <t xml:space="preserve">FY22 Title I </t>
    </r>
    <r>
      <rPr>
        <b/>
        <sz val="17"/>
        <rFont val="Calibri"/>
        <family val="2"/>
        <scheme val="minor"/>
      </rPr>
      <t>PRELIMINARY</t>
    </r>
    <r>
      <rPr>
        <sz val="17"/>
        <rFont val="Calibri"/>
        <family val="2"/>
        <scheme val="minor"/>
      </rPr>
      <t xml:space="preserve"> Budget</t>
    </r>
  </si>
  <si>
    <t>enter allocation amounts below (row 3 &amp; 4)</t>
  </si>
  <si>
    <t>WEST VIEW ELEMENTARY SCHOOL</t>
  </si>
  <si>
    <t>Interpreters - 3 @ $339 each ($61 benefit costs each)</t>
  </si>
  <si>
    <r>
      <rPr>
        <strike/>
        <sz val="12"/>
        <color rgb="FFFF0000"/>
        <rFont val="Calibri"/>
        <family val="2"/>
        <scheme val="minor"/>
      </rPr>
      <t xml:space="preserve">ActivBoard interactive slates for 4th &amp; 5th grade (4 @ $?? - not avail anymore, as per John)  FY21 6 doc cams ordered - never got any; correction, </t>
    </r>
    <r>
      <rPr>
        <sz val="12"/>
        <rFont val="Calibri"/>
        <family val="2"/>
        <scheme val="minor"/>
      </rPr>
      <t xml:space="preserve">located 4 </t>
    </r>
    <r>
      <rPr>
        <b/>
        <sz val="12"/>
        <color rgb="FFFF0000"/>
        <rFont val="Calibri"/>
        <family val="2"/>
        <scheme val="minor"/>
      </rPr>
      <t>document cameras</t>
    </r>
  </si>
  <si>
    <t>Julie Bennett 0.5 FTE AP</t>
  </si>
  <si>
    <t>Kim Stooksbury 0.4 FTE Social Worker w/ L supp</t>
  </si>
  <si>
    <t>Cindee Peters 0.4 FTE School Counselor</t>
  </si>
  <si>
    <t>Light refreshments for parent events</t>
  </si>
  <si>
    <t>Academic games, books, drawstring packs, supply kits (scissors, markers, colored pencils, glue, etc.), activity kits (flash cards, worksbooks, science viewers, individual pocket charts, phonics dictionary)</t>
  </si>
  <si>
    <t xml:space="preserve">Laurie McAllister 1.0 FTE   Title I Assistant   1.0 FTE </t>
  </si>
  <si>
    <t xml:space="preserve">iReady renewal $3200; Hapara $940 (Dec. expiration, need to negotiate a June 30th expiration); SeeSaw $1,045; Starfall $300; Library books, books for novel studies to support new ELA adoption; Crayons, pencils, markers, paper, manuscript paper, magnetic boards, headsets/headphones, adapters, scissors, glue, modeling clay, highlighters, academic games/activities, student journals, toner, print cartridges, math manipulatives, art supplies, music supplies for class (Djembe drums, bells, recorders, other instruments) </t>
  </si>
  <si>
    <t>Miscellaneous equipment</t>
  </si>
  <si>
    <t>Mentors</t>
  </si>
  <si>
    <t>4 positions for one year to serve as mentors for Tiger Evaluation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</si>
</sst>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mm/dd/yy;@"/>
  </numFmts>
  <fonts count="56"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0432FF"/>
      <name val="Tahoma"/>
      <family val="2"/>
    </font>
    <font>
      <sz val="11"/>
      <color rgb="FF006100"/>
      <name val="Calibri"/>
      <family val="2"/>
      <scheme val="minor"/>
    </font>
    <font>
      <sz val="11"/>
      <color rgb="FF0432FF"/>
      <name val="Calibri"/>
      <family val="2"/>
      <scheme val="minor"/>
    </font>
    <font>
      <b/>
      <sz val="10"/>
      <color rgb="FF0432FF"/>
      <name val="Tahoma"/>
      <family val="2"/>
    </font>
    <font>
      <i/>
      <sz val="10"/>
      <color rgb="FF0432FF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ahoma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7"/>
      <color indexed="8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name val="Calibri"/>
      <family val="2"/>
      <scheme val="minor"/>
    </font>
    <font>
      <sz val="17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indexed="8"/>
      <name val="Calibri"/>
      <family val="2"/>
    </font>
    <font>
      <b/>
      <sz val="13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7"/>
      <name val="Calibri"/>
      <family val="2"/>
      <scheme val="minor"/>
    </font>
    <font>
      <sz val="7.5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FBFFF"/>
        <bgColor indexed="64"/>
      </patternFill>
    </fill>
    <fill>
      <patternFill patternType="solid">
        <fgColor rgb="FF9FB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D7AFFF"/>
        <bgColor rgb="FF000000"/>
      </patternFill>
    </fill>
    <fill>
      <patternFill patternType="solid">
        <fgColor rgb="FF85FA4A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9393"/>
        <bgColor rgb="FF000000"/>
      </patternFill>
    </fill>
    <fill>
      <patternFill patternType="solid">
        <fgColor rgb="FF85FA4A"/>
        <bgColor rgb="FF000000"/>
      </patternFill>
    </fill>
    <fill>
      <patternFill patternType="solid">
        <fgColor rgb="FFFFFFCD"/>
        <bgColor indexed="64"/>
      </patternFill>
    </fill>
    <fill>
      <patternFill patternType="solid">
        <fgColor rgb="FFF7EFFF"/>
        <bgColor indexed="64"/>
      </patternFill>
    </fill>
    <fill>
      <patternFill patternType="solid">
        <fgColor rgb="FFD9FDC7"/>
        <bgColor rgb="FF000000"/>
      </patternFill>
    </fill>
    <fill>
      <patternFill patternType="solid">
        <fgColor rgb="FFD9FDC7"/>
        <bgColor indexed="64"/>
      </patternFill>
    </fill>
    <fill>
      <patternFill patternType="solid">
        <fgColor rgb="FFFFD5D5"/>
        <bgColor rgb="FF000000"/>
      </patternFill>
    </fill>
    <fill>
      <patternFill patternType="solid">
        <fgColor rgb="FFFFD5D5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rgb="FF33CAFF"/>
        <bgColor rgb="FF000000"/>
      </patternFill>
    </fill>
    <fill>
      <patternFill patternType="solid">
        <fgColor rgb="FFA7E8FF"/>
        <bgColor rgb="FF000000"/>
      </patternFill>
    </fill>
    <fill>
      <patternFill patternType="solid">
        <fgColor rgb="FFA7E8FF"/>
        <bgColor indexed="64"/>
      </patternFill>
    </fill>
    <fill>
      <patternFill patternType="solid">
        <fgColor theme="0"/>
        <bgColor rgb="FF000000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theme="0" tint="-0.34998626667073579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auto="1"/>
      </top>
      <bottom/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58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3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3" fillId="3" borderId="0" applyNumberFormat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6">
    <xf numFmtId="0" fontId="0" fillId="0" borderId="0" xfId="0"/>
    <xf numFmtId="0" fontId="10" fillId="0" borderId="0" xfId="28" applyFont="1"/>
    <xf numFmtId="0" fontId="11" fillId="0" borderId="0" xfId="28" applyFont="1"/>
    <xf numFmtId="165" fontId="11" fillId="0" borderId="0" xfId="28" applyNumberFormat="1" applyFont="1"/>
    <xf numFmtId="43" fontId="11" fillId="0" borderId="0" xfId="29" applyFont="1"/>
    <xf numFmtId="0" fontId="12" fillId="0" borderId="0" xfId="28" applyFont="1"/>
    <xf numFmtId="165" fontId="12" fillId="0" borderId="0" xfId="28" applyNumberFormat="1" applyFont="1"/>
    <xf numFmtId="0" fontId="9" fillId="0" borderId="0" xfId="28"/>
    <xf numFmtId="165" fontId="12" fillId="0" borderId="0" xfId="28" applyNumberFormat="1" applyFont="1" applyBorder="1"/>
    <xf numFmtId="0" fontId="14" fillId="0" borderId="0" xfId="28" applyFont="1"/>
    <xf numFmtId="43" fontId="11" fillId="0" borderId="0" xfId="31" applyFont="1"/>
    <xf numFmtId="43" fontId="10" fillId="0" borderId="0" xfId="31" applyFont="1"/>
    <xf numFmtId="43" fontId="15" fillId="0" borderId="0" xfId="31" applyFont="1"/>
    <xf numFmtId="0" fontId="15" fillId="0" borderId="0" xfId="28" applyFont="1"/>
    <xf numFmtId="0" fontId="11" fillId="0" borderId="0" xfId="0" applyFont="1"/>
    <xf numFmtId="0" fontId="12" fillId="0" borderId="0" xfId="0" applyFont="1"/>
    <xf numFmtId="165" fontId="12" fillId="0" borderId="0" xfId="0" applyNumberFormat="1" applyFont="1"/>
    <xf numFmtId="0" fontId="12" fillId="0" borderId="3" xfId="0" applyFont="1" applyBorder="1"/>
    <xf numFmtId="0" fontId="11" fillId="0" borderId="0" xfId="0" applyFont="1" applyFill="1"/>
    <xf numFmtId="43" fontId="11" fillId="0" borderId="0" xfId="28" applyNumberFormat="1" applyFont="1"/>
    <xf numFmtId="43" fontId="15" fillId="0" borderId="0" xfId="28" applyNumberFormat="1" applyFont="1"/>
    <xf numFmtId="0" fontId="12" fillId="0" borderId="0" xfId="28" applyFont="1" applyFill="1"/>
    <xf numFmtId="0" fontId="11" fillId="0" borderId="0" xfId="28" applyFont="1" applyFill="1"/>
    <xf numFmtId="16" fontId="12" fillId="0" borderId="0" xfId="28" applyNumberFormat="1" applyFont="1" applyFill="1"/>
    <xf numFmtId="43" fontId="9" fillId="0" borderId="0" xfId="28" applyNumberFormat="1"/>
    <xf numFmtId="0" fontId="16" fillId="0" borderId="0" xfId="28" applyFont="1"/>
    <xf numFmtId="0" fontId="17" fillId="0" borderId="0" xfId="28" applyFont="1" applyFill="1"/>
    <xf numFmtId="0" fontId="17" fillId="0" borderId="0" xfId="28" applyFont="1"/>
    <xf numFmtId="43" fontId="16" fillId="0" borderId="3" xfId="31" applyFont="1" applyBorder="1"/>
    <xf numFmtId="165" fontId="12" fillId="0" borderId="0" xfId="0" applyNumberFormat="1" applyFont="1" applyBorder="1"/>
    <xf numFmtId="43" fontId="12" fillId="2" borderId="0" xfId="31" applyFont="1" applyFill="1"/>
    <xf numFmtId="165" fontId="11" fillId="2" borderId="0" xfId="0" applyNumberFormat="1" applyFont="1" applyFill="1" applyAlignment="1">
      <alignment horizontal="center"/>
    </xf>
    <xf numFmtId="165" fontId="12" fillId="2" borderId="0" xfId="0" applyNumberFormat="1" applyFont="1" applyFill="1"/>
    <xf numFmtId="165" fontId="12" fillId="2" borderId="0" xfId="0" applyNumberFormat="1" applyFont="1" applyFill="1" applyBorder="1"/>
    <xf numFmtId="165" fontId="11" fillId="2" borderId="0" xfId="0" applyNumberFormat="1" applyFont="1" applyFill="1"/>
    <xf numFmtId="165" fontId="12" fillId="2" borderId="0" xfId="28" applyNumberFormat="1" applyFont="1" applyFill="1"/>
    <xf numFmtId="165" fontId="12" fillId="2" borderId="0" xfId="28" applyNumberFormat="1" applyFont="1" applyFill="1" applyBorder="1"/>
    <xf numFmtId="0" fontId="18" fillId="0" borderId="0" xfId="28" applyFont="1"/>
    <xf numFmtId="16" fontId="19" fillId="0" borderId="0" xfId="28" applyNumberFormat="1" applyFont="1" applyFill="1"/>
    <xf numFmtId="0" fontId="19" fillId="0" borderId="0" xfId="28" applyFont="1" applyFill="1"/>
    <xf numFmtId="165" fontId="19" fillId="0" borderId="0" xfId="28" applyNumberFormat="1" applyFont="1" applyFill="1" applyBorder="1"/>
    <xf numFmtId="0" fontId="20" fillId="0" borderId="0" xfId="28" applyFont="1" applyFill="1"/>
    <xf numFmtId="0" fontId="18" fillId="0" borderId="0" xfId="28" applyFont="1" applyFill="1"/>
    <xf numFmtId="165" fontId="12" fillId="2" borderId="3" xfId="0" applyNumberFormat="1" applyFont="1" applyFill="1" applyBorder="1" applyAlignment="1">
      <alignment horizontal="center"/>
    </xf>
    <xf numFmtId="165" fontId="17" fillId="0" borderId="0" xfId="28" applyNumberFormat="1" applyFont="1"/>
    <xf numFmtId="0" fontId="22" fillId="0" borderId="0" xfId="0" applyFont="1"/>
    <xf numFmtId="0" fontId="22" fillId="5" borderId="2" xfId="0" applyFont="1" applyFill="1" applyBorder="1" applyAlignment="1">
      <alignment wrapText="1"/>
    </xf>
    <xf numFmtId="0" fontId="22" fillId="5" borderId="2" xfId="0" applyFont="1" applyFill="1" applyBorder="1"/>
    <xf numFmtId="0" fontId="0" fillId="4" borderId="0" xfId="0" applyFill="1"/>
    <xf numFmtId="0" fontId="22" fillId="7" borderId="0" xfId="0" applyFont="1" applyFill="1"/>
    <xf numFmtId="0" fontId="35" fillId="7" borderId="0" xfId="0" applyFont="1" applyFill="1"/>
    <xf numFmtId="41" fontId="37" fillId="7" borderId="0" xfId="4" applyNumberFormat="1" applyFont="1" applyFill="1"/>
    <xf numFmtId="0" fontId="37" fillId="7" borderId="0" xfId="4" applyFont="1" applyFill="1"/>
    <xf numFmtId="0" fontId="38" fillId="4" borderId="0" xfId="0" applyFont="1" applyFill="1"/>
    <xf numFmtId="0" fontId="22" fillId="8" borderId="1" xfId="0" applyFont="1" applyFill="1" applyBorder="1"/>
    <xf numFmtId="0" fontId="22" fillId="8" borderId="2" xfId="0" applyFont="1" applyFill="1" applyBorder="1" applyAlignment="1">
      <alignment vertical="center"/>
    </xf>
    <xf numFmtId="0" fontId="22" fillId="8" borderId="2" xfId="0" applyFont="1" applyFill="1" applyBorder="1"/>
    <xf numFmtId="0" fontId="39" fillId="5" borderId="6" xfId="0" applyFont="1" applyFill="1" applyBorder="1"/>
    <xf numFmtId="0" fontId="40" fillId="4" borderId="0" xfId="0" applyFont="1" applyFill="1"/>
    <xf numFmtId="0" fontId="39" fillId="8" borderId="6" xfId="0" applyFont="1" applyFill="1" applyBorder="1"/>
    <xf numFmtId="0" fontId="36" fillId="7" borderId="0" xfId="4" applyFont="1" applyFill="1" applyAlignment="1">
      <alignment horizontal="left" vertical="center"/>
    </xf>
    <xf numFmtId="0" fontId="37" fillId="7" borderId="0" xfId="4" applyFont="1" applyFill="1" applyAlignment="1">
      <alignment horizontal="left"/>
    </xf>
    <xf numFmtId="0" fontId="30" fillId="7" borderId="0" xfId="4" applyFont="1" applyFill="1" applyAlignment="1">
      <alignment horizontal="left"/>
    </xf>
    <xf numFmtId="0" fontId="22" fillId="7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3" fillId="4" borderId="0" xfId="0" applyFont="1" applyFill="1"/>
    <xf numFmtId="164" fontId="29" fillId="11" borderId="5" xfId="4" applyNumberFormat="1" applyFont="1" applyFill="1" applyBorder="1" applyAlignment="1">
      <alignment horizontal="center" wrapText="1"/>
    </xf>
    <xf numFmtId="164" fontId="29" fillId="11" borderId="5" xfId="4" applyNumberFormat="1" applyFont="1" applyFill="1" applyBorder="1" applyAlignment="1">
      <alignment horizontal="center" vertical="center" wrapText="1"/>
    </xf>
    <xf numFmtId="0" fontId="44" fillId="5" borderId="1" xfId="0" applyFont="1" applyFill="1" applyBorder="1"/>
    <xf numFmtId="6" fontId="33" fillId="0" borderId="8" xfId="0" applyNumberFormat="1" applyFont="1" applyBorder="1" applyAlignment="1">
      <alignment wrapText="1"/>
    </xf>
    <xf numFmtId="6" fontId="33" fillId="0" borderId="9" xfId="0" applyNumberFormat="1" applyFont="1" applyBorder="1" applyAlignment="1">
      <alignment wrapText="1"/>
    </xf>
    <xf numFmtId="0" fontId="30" fillId="0" borderId="9" xfId="4" applyFont="1" applyBorder="1"/>
    <xf numFmtId="6" fontId="30" fillId="0" borderId="9" xfId="0" applyNumberFormat="1" applyFont="1" applyBorder="1" applyAlignment="1">
      <alignment wrapText="1"/>
    </xf>
    <xf numFmtId="6" fontId="33" fillId="0" borderId="9" xfId="0" applyNumberFormat="1" applyFont="1" applyFill="1" applyBorder="1" applyAlignment="1">
      <alignment wrapText="1"/>
    </xf>
    <xf numFmtId="0" fontId="30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30" fillId="19" borderId="9" xfId="0" applyFont="1" applyFill="1" applyBorder="1" applyAlignment="1">
      <alignment wrapText="1"/>
    </xf>
    <xf numFmtId="0" fontId="33" fillId="0" borderId="9" xfId="0" applyFont="1" applyFill="1" applyBorder="1" applyAlignment="1">
      <alignment wrapText="1"/>
    </xf>
    <xf numFmtId="38" fontId="21" fillId="14" borderId="10" xfId="0" applyNumberFormat="1" applyFont="1" applyFill="1" applyBorder="1" applyAlignment="1">
      <alignment horizontal="right" wrapText="1"/>
    </xf>
    <xf numFmtId="0" fontId="30" fillId="15" borderId="11" xfId="0" applyFont="1" applyFill="1" applyBorder="1" applyAlignment="1">
      <alignment wrapText="1"/>
    </xf>
    <xf numFmtId="0" fontId="33" fillId="15" borderId="11" xfId="0" applyFont="1" applyFill="1" applyBorder="1" applyAlignment="1">
      <alignment wrapText="1"/>
    </xf>
    <xf numFmtId="0" fontId="44" fillId="5" borderId="12" xfId="0" applyFont="1" applyFill="1" applyBorder="1" applyAlignment="1">
      <alignment horizontal="left"/>
    </xf>
    <xf numFmtId="0" fontId="29" fillId="5" borderId="13" xfId="4" applyFont="1" applyFill="1" applyBorder="1" applyAlignment="1">
      <alignment horizontal="left" vertical="center" wrapText="1"/>
    </xf>
    <xf numFmtId="0" fontId="30" fillId="0" borderId="14" xfId="4" applyFont="1" applyBorder="1" applyAlignment="1">
      <alignment horizontal="left" wrapText="1"/>
    </xf>
    <xf numFmtId="41" fontId="32" fillId="0" borderId="16" xfId="0" applyNumberFormat="1" applyFont="1" applyBorder="1" applyAlignment="1">
      <alignment horizontal="center" wrapText="1"/>
    </xf>
    <xf numFmtId="0" fontId="30" fillId="0" borderId="14" xfId="0" applyFont="1" applyBorder="1" applyAlignment="1">
      <alignment horizontal="left"/>
    </xf>
    <xf numFmtId="41" fontId="30" fillId="0" borderId="16" xfId="4" applyNumberFormat="1" applyFont="1" applyBorder="1" applyAlignment="1">
      <alignment horizontal="center"/>
    </xf>
    <xf numFmtId="41" fontId="30" fillId="0" borderId="16" xfId="0" applyNumberFormat="1" applyFont="1" applyBorder="1" applyAlignment="1">
      <alignment horizontal="center" wrapText="1"/>
    </xf>
    <xf numFmtId="41" fontId="30" fillId="0" borderId="16" xfId="0" applyNumberFormat="1" applyFont="1" applyBorder="1" applyAlignment="1">
      <alignment horizontal="center"/>
    </xf>
    <xf numFmtId="0" fontId="31" fillId="0" borderId="14" xfId="4" applyFont="1" applyFill="1" applyBorder="1" applyAlignment="1">
      <alignment horizontal="right" wrapText="1"/>
    </xf>
    <xf numFmtId="41" fontId="31" fillId="16" borderId="16" xfId="0" applyNumberFormat="1" applyFont="1" applyFill="1" applyBorder="1" applyAlignment="1">
      <alignment horizontal="center" wrapText="1"/>
    </xf>
    <xf numFmtId="0" fontId="29" fillId="5" borderId="14" xfId="4" applyFont="1" applyFill="1" applyBorder="1" applyAlignment="1">
      <alignment horizontal="left" vertical="center" wrapText="1"/>
    </xf>
    <xf numFmtId="41" fontId="30" fillId="24" borderId="17" xfId="0" applyNumberFormat="1" applyFont="1" applyFill="1" applyBorder="1" applyAlignment="1">
      <alignment horizontal="center" vertical="top" wrapText="1"/>
    </xf>
    <xf numFmtId="0" fontId="30" fillId="0" borderId="14" xfId="4" applyFont="1" applyBorder="1" applyAlignment="1">
      <alignment horizontal="left"/>
    </xf>
    <xf numFmtId="41" fontId="33" fillId="0" borderId="16" xfId="0" applyNumberFormat="1" applyFont="1" applyBorder="1" applyAlignment="1">
      <alignment horizontal="center" wrapText="1"/>
    </xf>
    <xf numFmtId="0" fontId="24" fillId="14" borderId="19" xfId="4" applyFont="1" applyFill="1" applyBorder="1" applyAlignment="1">
      <alignment horizontal="right" wrapText="1"/>
    </xf>
    <xf numFmtId="38" fontId="24" fillId="14" borderId="20" xfId="0" applyNumberFormat="1" applyFont="1" applyFill="1" applyBorder="1" applyAlignment="1">
      <alignment horizontal="right" wrapText="1"/>
    </xf>
    <xf numFmtId="164" fontId="29" fillId="10" borderId="13" xfId="4" applyNumberFormat="1" applyFont="1" applyFill="1" applyBorder="1" applyAlignment="1">
      <alignment horizontal="center" wrapText="1"/>
    </xf>
    <xf numFmtId="6" fontId="33" fillId="0" borderId="15" xfId="0" applyNumberFormat="1" applyFont="1" applyBorder="1" applyAlignment="1">
      <alignment wrapText="1"/>
    </xf>
    <xf numFmtId="6" fontId="33" fillId="0" borderId="16" xfId="0" applyNumberFormat="1" applyFont="1" applyBorder="1" applyAlignment="1">
      <alignment wrapText="1"/>
    </xf>
    <xf numFmtId="0" fontId="30" fillId="0" borderId="16" xfId="4" applyFont="1" applyBorder="1"/>
    <xf numFmtId="6" fontId="30" fillId="0" borderId="16" xfId="0" applyNumberFormat="1" applyFont="1" applyBorder="1" applyAlignment="1">
      <alignment wrapText="1"/>
    </xf>
    <xf numFmtId="0" fontId="34" fillId="0" borderId="16" xfId="0" applyFont="1" applyFill="1" applyBorder="1" applyAlignment="1">
      <alignment wrapText="1"/>
    </xf>
    <xf numFmtId="6" fontId="33" fillId="0" borderId="16" xfId="0" applyNumberFormat="1" applyFont="1" applyFill="1" applyBorder="1" applyAlignment="1">
      <alignment wrapText="1"/>
    </xf>
    <xf numFmtId="0" fontId="30" fillId="0" borderId="16" xfId="0" applyFont="1" applyBorder="1" applyAlignment="1">
      <alignment wrapText="1"/>
    </xf>
    <xf numFmtId="0" fontId="30" fillId="17" borderId="16" xfId="0" applyFont="1" applyFill="1" applyBorder="1" applyAlignment="1">
      <alignment wrapText="1"/>
    </xf>
    <xf numFmtId="41" fontId="31" fillId="22" borderId="16" xfId="0" applyNumberFormat="1" applyFont="1" applyFill="1" applyBorder="1" applyAlignment="1">
      <alignment horizontal="center" wrapText="1"/>
    </xf>
    <xf numFmtId="0" fontId="30" fillId="24" borderId="21" xfId="0" applyFont="1" applyFill="1" applyBorder="1" applyAlignment="1">
      <alignment vertical="top" wrapText="1"/>
    </xf>
    <xf numFmtId="0" fontId="33" fillId="0" borderId="16" xfId="0" applyFont="1" applyFill="1" applyBorder="1" applyAlignment="1">
      <alignment wrapText="1"/>
    </xf>
    <xf numFmtId="38" fontId="21" fillId="14" borderId="20" xfId="0" applyNumberFormat="1" applyFont="1" applyFill="1" applyBorder="1" applyAlignment="1">
      <alignment horizontal="right" wrapText="1"/>
    </xf>
    <xf numFmtId="164" fontId="29" fillId="20" borderId="13" xfId="4" applyNumberFormat="1" applyFont="1" applyFill="1" applyBorder="1" applyAlignment="1">
      <alignment horizontal="center" wrapText="1"/>
    </xf>
    <xf numFmtId="0" fontId="30" fillId="23" borderId="16" xfId="0" applyFont="1" applyFill="1" applyBorder="1" applyAlignment="1">
      <alignment wrapText="1"/>
    </xf>
    <xf numFmtId="41" fontId="31" fillId="18" borderId="16" xfId="0" applyNumberFormat="1" applyFont="1" applyFill="1" applyBorder="1" applyAlignment="1">
      <alignment horizontal="center" wrapText="1"/>
    </xf>
    <xf numFmtId="164" fontId="29" fillId="20" borderId="13" xfId="4" applyNumberFormat="1" applyFont="1" applyFill="1" applyBorder="1" applyAlignment="1">
      <alignment horizontal="center" vertical="center" wrapText="1"/>
    </xf>
    <xf numFmtId="0" fontId="30" fillId="15" borderId="22" xfId="0" applyFont="1" applyFill="1" applyBorder="1" applyAlignment="1">
      <alignment wrapText="1"/>
    </xf>
    <xf numFmtId="41" fontId="30" fillId="15" borderId="22" xfId="0" applyNumberFormat="1" applyFont="1" applyFill="1" applyBorder="1" applyAlignment="1">
      <alignment horizontal="center" vertical="center" wrapText="1"/>
    </xf>
    <xf numFmtId="0" fontId="33" fillId="15" borderId="22" xfId="0" applyFont="1" applyFill="1" applyBorder="1" applyAlignment="1">
      <alignment wrapText="1"/>
    </xf>
    <xf numFmtId="164" fontId="29" fillId="10" borderId="13" xfId="4" applyNumberFormat="1" applyFont="1" applyFill="1" applyBorder="1" applyAlignment="1">
      <alignment horizontal="center" vertical="center" wrapText="1"/>
    </xf>
    <xf numFmtId="0" fontId="23" fillId="8" borderId="12" xfId="4" applyFont="1" applyFill="1" applyBorder="1" applyAlignment="1">
      <alignment horizontal="left"/>
    </xf>
    <xf numFmtId="0" fontId="29" fillId="8" borderId="13" xfId="4" applyFont="1" applyFill="1" applyBorder="1" applyAlignment="1">
      <alignment horizontal="left" vertical="center" wrapText="1"/>
    </xf>
    <xf numFmtId="0" fontId="30" fillId="15" borderId="14" xfId="4" applyFont="1" applyFill="1" applyBorder="1" applyAlignment="1">
      <alignment horizontal="left" vertical="center" wrapText="1"/>
    </xf>
    <xf numFmtId="41" fontId="32" fillId="0" borderId="25" xfId="0" applyNumberFormat="1" applyFont="1" applyBorder="1" applyAlignment="1">
      <alignment horizontal="center" wrapText="1"/>
    </xf>
    <xf numFmtId="41" fontId="30" fillId="15" borderId="18" xfId="0" applyNumberFormat="1" applyFont="1" applyFill="1" applyBorder="1" applyAlignment="1">
      <alignment horizontal="center" vertical="center" wrapText="1"/>
    </xf>
    <xf numFmtId="41" fontId="26" fillId="10" borderId="25" xfId="4" applyNumberFormat="1" applyFont="1" applyFill="1" applyBorder="1" applyAlignment="1">
      <alignment horizontal="center"/>
    </xf>
    <xf numFmtId="41" fontId="26" fillId="20" borderId="25" xfId="4" applyNumberFormat="1" applyFont="1" applyFill="1" applyBorder="1" applyAlignment="1">
      <alignment horizontal="center"/>
    </xf>
    <xf numFmtId="41" fontId="26" fillId="11" borderId="25" xfId="4" applyNumberFormat="1" applyFont="1" applyFill="1" applyBorder="1" applyAlignment="1">
      <alignment horizontal="center"/>
    </xf>
    <xf numFmtId="41" fontId="23" fillId="12" borderId="25" xfId="0" applyNumberFormat="1" applyFont="1" applyFill="1" applyBorder="1" applyAlignment="1">
      <alignment horizontal="center"/>
    </xf>
    <xf numFmtId="41" fontId="23" fillId="21" borderId="25" xfId="0" applyNumberFormat="1" applyFont="1" applyFill="1" applyBorder="1" applyAlignment="1">
      <alignment horizontal="center"/>
    </xf>
    <xf numFmtId="41" fontId="23" fillId="13" borderId="25" xfId="0" applyNumberFormat="1" applyFont="1" applyFill="1" applyBorder="1" applyAlignment="1">
      <alignment horizontal="center"/>
    </xf>
    <xf numFmtId="0" fontId="31" fillId="0" borderId="24" xfId="4" applyFont="1" applyFill="1" applyBorder="1" applyAlignment="1">
      <alignment horizontal="right" wrapText="1"/>
    </xf>
    <xf numFmtId="0" fontId="0" fillId="4" borderId="27" xfId="0" applyFill="1" applyBorder="1"/>
    <xf numFmtId="0" fontId="26" fillId="5" borderId="28" xfId="4" applyFont="1" applyFill="1" applyBorder="1" applyAlignment="1">
      <alignment horizontal="right" wrapText="1"/>
    </xf>
    <xf numFmtId="41" fontId="26" fillId="6" borderId="29" xfId="0" applyNumberFormat="1" applyFont="1" applyFill="1" applyBorder="1" applyAlignment="1">
      <alignment horizontal="center" wrapText="1"/>
    </xf>
    <xf numFmtId="0" fontId="25" fillId="5" borderId="29" xfId="0" applyFont="1" applyFill="1" applyBorder="1" applyAlignment="1">
      <alignment wrapText="1"/>
    </xf>
    <xf numFmtId="0" fontId="43" fillId="4" borderId="30" xfId="0" applyFont="1" applyFill="1" applyBorder="1"/>
    <xf numFmtId="0" fontId="30" fillId="15" borderId="24" xfId="4" applyFont="1" applyFill="1" applyBorder="1" applyAlignment="1">
      <alignment horizontal="left" vertical="center" wrapText="1"/>
    </xf>
    <xf numFmtId="41" fontId="30" fillId="15" borderId="15" xfId="0" applyNumberFormat="1" applyFont="1" applyFill="1" applyBorder="1" applyAlignment="1">
      <alignment horizontal="center" vertical="center" wrapText="1"/>
    </xf>
    <xf numFmtId="0" fontId="30" fillId="15" borderId="15" xfId="0" applyFont="1" applyFill="1" applyBorder="1" applyAlignment="1">
      <alignment wrapText="1"/>
    </xf>
    <xf numFmtId="0" fontId="26" fillId="8" borderId="23" xfId="4" applyFont="1" applyFill="1" applyBorder="1" applyAlignment="1">
      <alignment horizontal="right" vertical="center" wrapText="1"/>
    </xf>
    <xf numFmtId="41" fontId="25" fillId="9" borderId="26" xfId="0" applyNumberFormat="1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wrapText="1"/>
    </xf>
    <xf numFmtId="0" fontId="40" fillId="4" borderId="0" xfId="0" applyFont="1" applyFill="1" applyBorder="1"/>
    <xf numFmtId="0" fontId="24" fillId="14" borderId="32" xfId="4" applyFont="1" applyFill="1" applyBorder="1" applyAlignment="1">
      <alignment horizontal="right" vertical="center" wrapText="1"/>
    </xf>
    <xf numFmtId="38" fontId="24" fillId="14" borderId="31" xfId="0" applyNumberFormat="1" applyFont="1" applyFill="1" applyBorder="1" applyAlignment="1">
      <alignment horizontal="right" vertical="center" wrapText="1"/>
    </xf>
    <xf numFmtId="38" fontId="21" fillId="14" borderId="31" xfId="0" applyNumberFormat="1" applyFont="1" applyFill="1" applyBorder="1" applyAlignment="1">
      <alignment horizontal="right" vertical="top" wrapText="1"/>
    </xf>
    <xf numFmtId="0" fontId="44" fillId="10" borderId="33" xfId="0" applyFont="1" applyFill="1" applyBorder="1" applyAlignment="1">
      <alignment horizontal="center"/>
    </xf>
    <xf numFmtId="0" fontId="44" fillId="10" borderId="12" xfId="0" applyFont="1" applyFill="1" applyBorder="1" applyAlignment="1">
      <alignment horizontal="center"/>
    </xf>
    <xf numFmtId="0" fontId="44" fillId="20" borderId="33" xfId="0" applyFont="1" applyFill="1" applyBorder="1" applyAlignment="1">
      <alignment horizontal="center"/>
    </xf>
    <xf numFmtId="0" fontId="44" fillId="20" borderId="12" xfId="0" applyFont="1" applyFill="1" applyBorder="1" applyAlignment="1">
      <alignment horizontal="center"/>
    </xf>
    <xf numFmtId="0" fontId="44" fillId="11" borderId="33" xfId="0" applyFont="1" applyFill="1" applyBorder="1" applyAlignment="1">
      <alignment horizontal="center"/>
    </xf>
    <xf numFmtId="0" fontId="44" fillId="11" borderId="4" xfId="0" applyFont="1" applyFill="1" applyBorder="1" applyAlignment="1">
      <alignment horizontal="center"/>
    </xf>
    <xf numFmtId="0" fontId="30" fillId="24" borderId="7" xfId="0" applyFont="1" applyFill="1" applyBorder="1" applyAlignment="1">
      <alignment vertical="top" wrapText="1"/>
    </xf>
    <xf numFmtId="0" fontId="22" fillId="5" borderId="34" xfId="0" applyFont="1" applyFill="1" applyBorder="1"/>
    <xf numFmtId="0" fontId="42" fillId="5" borderId="35" xfId="0" applyFont="1" applyFill="1" applyBorder="1"/>
    <xf numFmtId="0" fontId="25" fillId="5" borderId="36" xfId="0" applyFont="1" applyFill="1" applyBorder="1" applyAlignment="1">
      <alignment wrapText="1"/>
    </xf>
    <xf numFmtId="0" fontId="41" fillId="10" borderId="12" xfId="0" applyFont="1" applyFill="1" applyBorder="1" applyAlignment="1">
      <alignment horizontal="center"/>
    </xf>
    <xf numFmtId="41" fontId="45" fillId="21" borderId="33" xfId="0" applyNumberFormat="1" applyFont="1" applyFill="1" applyBorder="1" applyAlignment="1">
      <alignment horizontal="center"/>
    </xf>
    <xf numFmtId="0" fontId="41" fillId="20" borderId="12" xfId="0" applyFont="1" applyFill="1" applyBorder="1" applyAlignment="1">
      <alignment horizontal="center"/>
    </xf>
    <xf numFmtId="41" fontId="45" fillId="12" borderId="33" xfId="0" applyNumberFormat="1" applyFont="1" applyFill="1" applyBorder="1" applyAlignment="1">
      <alignment horizontal="center"/>
    </xf>
    <xf numFmtId="0" fontId="41" fillId="11" borderId="4" xfId="0" applyFont="1" applyFill="1" applyBorder="1" applyAlignment="1">
      <alignment horizontal="center"/>
    </xf>
    <xf numFmtId="0" fontId="22" fillId="8" borderId="34" xfId="0" applyFont="1" applyFill="1" applyBorder="1"/>
    <xf numFmtId="0" fontId="30" fillId="15" borderId="8" xfId="0" applyFont="1" applyFill="1" applyBorder="1" applyAlignment="1">
      <alignment wrapText="1"/>
    </xf>
    <xf numFmtId="0" fontId="42" fillId="8" borderId="35" xfId="0" applyFont="1" applyFill="1" applyBorder="1"/>
    <xf numFmtId="0" fontId="25" fillId="8" borderId="37" xfId="0" applyFont="1" applyFill="1" applyBorder="1" applyAlignment="1">
      <alignment wrapText="1"/>
    </xf>
    <xf numFmtId="0" fontId="21" fillId="14" borderId="38" xfId="0" applyFont="1" applyFill="1" applyBorder="1" applyAlignment="1">
      <alignment vertical="top" wrapText="1"/>
    </xf>
    <xf numFmtId="41" fontId="30" fillId="7" borderId="40" xfId="4" applyNumberFormat="1" applyFont="1" applyFill="1" applyBorder="1"/>
    <xf numFmtId="166" fontId="30" fillId="7" borderId="40" xfId="4" applyNumberFormat="1" applyFont="1" applyFill="1" applyBorder="1"/>
    <xf numFmtId="0" fontId="52" fillId="4" borderId="0" xfId="0" applyFont="1" applyFill="1"/>
    <xf numFmtId="164" fontId="49" fillId="7" borderId="41" xfId="4" applyNumberFormat="1" applyFont="1" applyFill="1" applyBorder="1" applyAlignment="1">
      <alignment horizontal="center" wrapText="1"/>
    </xf>
    <xf numFmtId="164" fontId="49" fillId="7" borderId="41" xfId="4" applyNumberFormat="1" applyFont="1" applyFill="1" applyBorder="1" applyAlignment="1">
      <alignment horizontal="center" vertical="center" wrapText="1"/>
    </xf>
    <xf numFmtId="0" fontId="46" fillId="7" borderId="0" xfId="4" applyFont="1" applyFill="1" applyBorder="1"/>
    <xf numFmtId="166" fontId="47" fillId="7" borderId="0" xfId="4" applyNumberFormat="1" applyFont="1" applyFill="1" applyBorder="1"/>
    <xf numFmtId="0" fontId="48" fillId="7" borderId="41" xfId="0" applyFont="1" applyFill="1" applyBorder="1" applyAlignment="1">
      <alignment horizontal="center"/>
    </xf>
    <xf numFmtId="6" fontId="47" fillId="7" borderId="42" xfId="0" applyNumberFormat="1" applyFont="1" applyFill="1" applyBorder="1" applyAlignment="1">
      <alignment wrapText="1"/>
    </xf>
    <xf numFmtId="0" fontId="47" fillId="7" borderId="42" xfId="4" applyFont="1" applyFill="1" applyBorder="1"/>
    <xf numFmtId="0" fontId="47" fillId="7" borderId="42" xfId="0" applyFont="1" applyFill="1" applyBorder="1" applyAlignment="1">
      <alignment wrapText="1"/>
    </xf>
    <xf numFmtId="0" fontId="47" fillId="7" borderId="0" xfId="0" applyFont="1" applyFill="1" applyBorder="1" applyAlignment="1">
      <alignment vertical="top" wrapText="1"/>
    </xf>
    <xf numFmtId="0" fontId="50" fillId="7" borderId="42" xfId="0" applyFont="1" applyFill="1" applyBorder="1" applyAlignment="1">
      <alignment wrapText="1"/>
    </xf>
    <xf numFmtId="38" fontId="20" fillId="7" borderId="42" xfId="0" applyNumberFormat="1" applyFont="1" applyFill="1" applyBorder="1" applyAlignment="1">
      <alignment horizontal="right" wrapText="1"/>
    </xf>
    <xf numFmtId="0" fontId="47" fillId="7" borderId="0" xfId="0" applyFont="1" applyFill="1" applyBorder="1"/>
    <xf numFmtId="0" fontId="51" fillId="7" borderId="41" xfId="0" applyFont="1" applyFill="1" applyBorder="1" applyAlignment="1">
      <alignment horizontal="center"/>
    </xf>
    <xf numFmtId="38" fontId="20" fillId="7" borderId="42" xfId="0" applyNumberFormat="1" applyFont="1" applyFill="1" applyBorder="1" applyAlignment="1">
      <alignment horizontal="right" vertical="top" wrapText="1"/>
    </xf>
    <xf numFmtId="0" fontId="30" fillId="7" borderId="0" xfId="4" applyFont="1" applyFill="1" applyAlignment="1">
      <alignment horizontal="right"/>
    </xf>
    <xf numFmtId="41" fontId="47" fillId="7" borderId="0" xfId="4" applyNumberFormat="1" applyFont="1" applyFill="1" applyBorder="1"/>
    <xf numFmtId="0" fontId="0" fillId="4" borderId="0" xfId="0" applyFont="1" applyFill="1"/>
    <xf numFmtId="0" fontId="0" fillId="7" borderId="0" xfId="0" applyFont="1" applyFill="1"/>
    <xf numFmtId="166" fontId="30" fillId="7" borderId="39" xfId="4" applyNumberFormat="1" applyFont="1" applyFill="1" applyBorder="1" applyAlignment="1">
      <alignment horizontal="left"/>
    </xf>
    <xf numFmtId="39" fontId="30" fillId="7" borderId="3" xfId="4" applyNumberFormat="1" applyFont="1" applyFill="1" applyBorder="1" applyAlignment="1">
      <alignment horizontal="left"/>
    </xf>
    <xf numFmtId="39" fontId="30" fillId="7" borderId="39" xfId="4" applyNumberFormat="1" applyFont="1" applyFill="1" applyBorder="1" applyAlignment="1">
      <alignment horizontal="left"/>
    </xf>
    <xf numFmtId="41" fontId="45" fillId="13" borderId="33" xfId="0" applyNumberFormat="1" applyFont="1" applyFill="1" applyBorder="1" applyAlignment="1">
      <alignment horizontal="center" wrapText="1"/>
    </xf>
    <xf numFmtId="0" fontId="54" fillId="7" borderId="0" xfId="4" applyFont="1" applyFill="1" applyAlignment="1">
      <alignment horizontal="center"/>
    </xf>
    <xf numFmtId="0" fontId="30" fillId="0" borderId="16" xfId="0" applyFont="1" applyFill="1" applyBorder="1" applyAlignment="1">
      <alignment wrapText="1"/>
    </xf>
    <xf numFmtId="41" fontId="30" fillId="15" borderId="18" xfId="0" applyNumberFormat="1" applyFont="1" applyFill="1" applyBorder="1" applyAlignment="1">
      <alignment horizontal="center" wrapText="1"/>
    </xf>
    <xf numFmtId="41" fontId="30" fillId="15" borderId="22" xfId="0" applyNumberFormat="1" applyFont="1" applyFill="1" applyBorder="1" applyAlignment="1">
      <alignment horizontal="center" wrapText="1"/>
    </xf>
    <xf numFmtId="6" fontId="2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</cellXfs>
  <cellStyles count="58">
    <cellStyle name="Comma" xfId="31" builtinId="3"/>
    <cellStyle name="Comma 2" xfId="29" xr:uid="{00000000-0005-0000-0000-000001000000}"/>
    <cellStyle name="Currency 2" xfId="1" xr:uid="{00000000-0005-0000-0000-000002000000}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15" builtinId="9" hidden="1"/>
    <cellStyle name="Followed Hyperlink" xfId="11" builtinId="9" hidden="1"/>
    <cellStyle name="Followed Hyperlink" xfId="13" builtinId="9" hidden="1"/>
    <cellStyle name="Followed Hyperlink" xfId="9" builtinId="9" hidden="1"/>
    <cellStyle name="Followed Hyperlink" xfId="7" builtinId="9" hidden="1"/>
    <cellStyle name="Good 2" xfId="30" xr:uid="{00000000-0005-0000-0000-00001B000000}"/>
    <cellStyle name="Hyperlink" xfId="54" builtinId="8" hidden="1"/>
    <cellStyle name="Hyperlink" xfId="56" builtinId="8" hidden="1"/>
    <cellStyle name="Hyperlink" xfId="52" builtinId="8" hidden="1"/>
    <cellStyle name="Hyperlink" xfId="24" builtinId="8" hidden="1"/>
    <cellStyle name="Hyperlink" xfId="26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36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10" builtinId="8" hidden="1"/>
    <cellStyle name="Hyperlink" xfId="12" builtinId="8" hidden="1"/>
    <cellStyle name="Hyperlink" xfId="8" builtinId="8" hidden="1"/>
    <cellStyle name="Hyperlink" xfId="6" builtinId="8" hidden="1"/>
    <cellStyle name="Normal" xfId="0" builtinId="0"/>
    <cellStyle name="Normal 2" xfId="2" xr:uid="{00000000-0005-0000-0000-000035000000}"/>
    <cellStyle name="Normal 2 2" xfId="3" xr:uid="{00000000-0005-0000-0000-000036000000}"/>
    <cellStyle name="Normal 2 2 2" xfId="4" xr:uid="{00000000-0005-0000-0000-000037000000}"/>
    <cellStyle name="Normal 3" xfId="5" xr:uid="{00000000-0005-0000-0000-000038000000}"/>
    <cellStyle name="Normal 4" xfId="28" xr:uid="{00000000-0005-0000-0000-000039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BFFF"/>
      <color rgb="FF85FA4A"/>
      <color rgb="FFA7E8FF"/>
      <color rgb="FF33CAFF"/>
      <color rgb="FFD7AFFF"/>
      <color rgb="FFFFD5D5"/>
      <color rgb="FFFF9393"/>
      <color rgb="FFEFFFFC"/>
      <color rgb="FFC1FFF3"/>
      <color rgb="FFD9F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18" zoomScaleNormal="100" workbookViewId="0">
      <selection activeCell="D26" sqref="D26"/>
    </sheetView>
  </sheetViews>
  <sheetFormatPr baseColWidth="10" defaultColWidth="9" defaultRowHeight="16"/>
  <cols>
    <col min="1" max="1" width="0.83203125" style="48" customWidth="1"/>
    <col min="2" max="2" width="31" style="64" customWidth="1"/>
    <col min="3" max="3" width="12.83203125" style="48" customWidth="1"/>
    <col min="4" max="4" width="61.6640625" style="48" customWidth="1"/>
    <col min="5" max="5" width="2" style="167" hidden="1" customWidth="1"/>
    <col min="6" max="6" width="20.6640625" style="48" hidden="1" customWidth="1"/>
    <col min="7" max="7" width="46.5" style="48" hidden="1" customWidth="1"/>
    <col min="8" max="8" width="2" style="167" hidden="1" customWidth="1"/>
    <col min="9" max="9" width="20.6640625" style="48" hidden="1" customWidth="1"/>
    <col min="10" max="10" width="46.6640625" style="48" hidden="1" customWidth="1"/>
    <col min="11" max="16384" width="9" style="48"/>
  </cols>
  <sheetData>
    <row r="1" spans="1:10" s="53" customFormat="1" ht="23">
      <c r="A1" s="50"/>
      <c r="B1" s="60" t="s">
        <v>95</v>
      </c>
      <c r="C1" s="51"/>
      <c r="D1" s="52"/>
      <c r="E1" s="170"/>
      <c r="F1" s="51"/>
      <c r="G1" s="52"/>
      <c r="H1" s="170"/>
      <c r="I1" s="51"/>
      <c r="J1" s="52"/>
    </row>
    <row r="2" spans="1:10" s="53" customFormat="1" ht="23">
      <c r="A2" s="50"/>
      <c r="B2" s="61" t="s">
        <v>93</v>
      </c>
      <c r="C2" s="51"/>
      <c r="D2" s="190" t="s">
        <v>94</v>
      </c>
      <c r="E2" s="170"/>
      <c r="F2" s="51"/>
      <c r="G2" s="52"/>
      <c r="H2" s="170"/>
      <c r="I2" s="51"/>
      <c r="J2" s="52"/>
    </row>
    <row r="3" spans="1:10" s="184" customFormat="1">
      <c r="A3" s="49"/>
      <c r="B3" s="185"/>
      <c r="C3" s="182" t="s">
        <v>90</v>
      </c>
      <c r="D3" s="187">
        <v>193032.03</v>
      </c>
      <c r="E3" s="183"/>
      <c r="F3" s="182" t="s">
        <v>90</v>
      </c>
      <c r="G3" s="187"/>
      <c r="H3" s="183"/>
      <c r="I3" s="182" t="s">
        <v>90</v>
      </c>
      <c r="J3" s="187"/>
    </row>
    <row r="4" spans="1:10" s="184" customFormat="1">
      <c r="A4" s="49"/>
      <c r="B4" s="185"/>
      <c r="C4" s="182" t="s">
        <v>91</v>
      </c>
      <c r="D4" s="188">
        <v>2500.5100000000002</v>
      </c>
      <c r="E4" s="183"/>
      <c r="F4" s="182" t="s">
        <v>91</v>
      </c>
      <c r="G4" s="188"/>
      <c r="H4" s="183"/>
      <c r="I4" s="182" t="s">
        <v>91</v>
      </c>
      <c r="J4" s="188"/>
    </row>
    <row r="5" spans="1:10" s="184" customFormat="1">
      <c r="A5" s="49"/>
      <c r="B5" s="185"/>
      <c r="C5" s="182" t="s">
        <v>92</v>
      </c>
      <c r="D5" s="186"/>
      <c r="E5" s="171"/>
      <c r="F5" s="182" t="s">
        <v>92</v>
      </c>
      <c r="G5" s="186"/>
      <c r="H5" s="171"/>
      <c r="I5" s="182" t="s">
        <v>92</v>
      </c>
      <c r="J5" s="186"/>
    </row>
    <row r="6" spans="1:10" ht="17" thickBot="1">
      <c r="A6" s="49"/>
      <c r="B6" s="62"/>
      <c r="C6" s="165"/>
      <c r="D6" s="166"/>
      <c r="E6" s="171"/>
      <c r="F6" s="165"/>
      <c r="G6" s="166"/>
      <c r="H6" s="171"/>
      <c r="I6" s="165"/>
      <c r="J6" s="166"/>
    </row>
    <row r="7" spans="1:10" s="65" customFormat="1" ht="17">
      <c r="A7" s="68"/>
      <c r="B7" s="81" t="s">
        <v>88</v>
      </c>
      <c r="C7" s="145" t="s">
        <v>78</v>
      </c>
      <c r="D7" s="146" t="s">
        <v>73</v>
      </c>
      <c r="E7" s="172"/>
      <c r="F7" s="147" t="s">
        <v>78</v>
      </c>
      <c r="G7" s="148" t="s">
        <v>74</v>
      </c>
      <c r="H7" s="172"/>
      <c r="I7" s="149" t="s">
        <v>78</v>
      </c>
      <c r="J7" s="150" t="s">
        <v>75</v>
      </c>
    </row>
    <row r="8" spans="1:10" ht="17">
      <c r="A8" s="46"/>
      <c r="B8" s="82" t="s">
        <v>81</v>
      </c>
      <c r="C8" s="123">
        <f>D3</f>
        <v>193032.03</v>
      </c>
      <c r="D8" s="97" t="s">
        <v>0</v>
      </c>
      <c r="E8" s="168"/>
      <c r="F8" s="124">
        <f>G3</f>
        <v>0</v>
      </c>
      <c r="G8" s="110" t="s">
        <v>0</v>
      </c>
      <c r="H8" s="168"/>
      <c r="I8" s="125">
        <f>J3</f>
        <v>0</v>
      </c>
      <c r="J8" s="66" t="s">
        <v>0</v>
      </c>
    </row>
    <row r="9" spans="1:10" ht="17">
      <c r="A9" s="47"/>
      <c r="B9" s="83" t="s">
        <v>1</v>
      </c>
      <c r="C9" s="121"/>
      <c r="D9" s="98"/>
      <c r="E9" s="173"/>
      <c r="F9" s="121"/>
      <c r="G9" s="98"/>
      <c r="H9" s="173"/>
      <c r="I9" s="121"/>
      <c r="J9" s="69"/>
    </row>
    <row r="10" spans="1:10" ht="17">
      <c r="A10" s="47"/>
      <c r="B10" s="83" t="s">
        <v>67</v>
      </c>
      <c r="C10" s="84"/>
      <c r="D10" s="99"/>
      <c r="E10" s="173"/>
      <c r="F10" s="84"/>
      <c r="G10" s="99"/>
      <c r="H10" s="173"/>
      <c r="I10" s="84"/>
      <c r="J10" s="70"/>
    </row>
    <row r="11" spans="1:10" ht="17">
      <c r="A11" s="47"/>
      <c r="B11" s="83" t="s">
        <v>68</v>
      </c>
      <c r="C11" s="84"/>
      <c r="D11" s="99"/>
      <c r="E11" s="173"/>
      <c r="F11" s="84"/>
      <c r="G11" s="99"/>
      <c r="H11" s="173"/>
      <c r="I11" s="84"/>
      <c r="J11" s="70"/>
    </row>
    <row r="12" spans="1:10" ht="17">
      <c r="A12" s="47"/>
      <c r="B12" s="83" t="s">
        <v>2</v>
      </c>
      <c r="C12" s="84"/>
      <c r="D12" s="99"/>
      <c r="E12" s="173"/>
      <c r="F12" s="84"/>
      <c r="G12" s="99"/>
      <c r="H12" s="173"/>
      <c r="I12" s="84"/>
      <c r="J12" s="70"/>
    </row>
    <row r="13" spans="1:10">
      <c r="A13" s="47"/>
      <c r="B13" s="85" t="s">
        <v>69</v>
      </c>
      <c r="C13" s="86"/>
      <c r="D13" s="100"/>
      <c r="E13" s="174"/>
      <c r="F13" s="86"/>
      <c r="G13" s="100"/>
      <c r="H13" s="174"/>
      <c r="I13" s="86"/>
      <c r="J13" s="71"/>
    </row>
    <row r="14" spans="1:10" ht="17">
      <c r="A14" s="47"/>
      <c r="B14" s="83" t="s">
        <v>3</v>
      </c>
      <c r="C14" s="87">
        <v>44988</v>
      </c>
      <c r="D14" s="101" t="s">
        <v>103</v>
      </c>
      <c r="E14" s="173"/>
      <c r="F14" s="87"/>
      <c r="G14" s="101"/>
      <c r="H14" s="173"/>
      <c r="I14" s="87"/>
      <c r="J14" s="72"/>
    </row>
    <row r="15" spans="1:10" ht="17">
      <c r="A15" s="47"/>
      <c r="B15" s="83" t="s">
        <v>5</v>
      </c>
      <c r="C15" s="87"/>
      <c r="D15" s="101"/>
      <c r="E15" s="173"/>
      <c r="F15" s="87"/>
      <c r="G15" s="101"/>
      <c r="H15" s="173"/>
      <c r="I15" s="87"/>
      <c r="J15" s="72"/>
    </row>
    <row r="16" spans="1:10" ht="17">
      <c r="A16" s="47"/>
      <c r="B16" s="83" t="s">
        <v>4</v>
      </c>
      <c r="C16" s="88"/>
      <c r="D16" s="191"/>
      <c r="E16" s="175"/>
      <c r="F16" s="88"/>
      <c r="G16" s="102"/>
      <c r="H16" s="175"/>
      <c r="I16" s="88"/>
      <c r="J16" s="75"/>
    </row>
    <row r="17" spans="1:10" ht="31.25" customHeight="1">
      <c r="A17" s="47"/>
      <c r="B17" s="83" t="s">
        <v>85</v>
      </c>
      <c r="C17" s="88"/>
      <c r="D17" s="101"/>
      <c r="E17" s="173"/>
      <c r="F17" s="88"/>
      <c r="G17" s="101"/>
      <c r="H17" s="173"/>
      <c r="I17" s="88"/>
      <c r="J17" s="72"/>
    </row>
    <row r="18" spans="1:10" ht="161.5" customHeight="1">
      <c r="A18" s="47"/>
      <c r="B18" s="83" t="s">
        <v>6</v>
      </c>
      <c r="C18" s="88">
        <v>19566</v>
      </c>
      <c r="D18" s="194" t="s">
        <v>104</v>
      </c>
      <c r="E18" s="173"/>
      <c r="F18" s="88"/>
      <c r="G18" s="103"/>
      <c r="H18" s="173"/>
      <c r="I18" s="88"/>
      <c r="J18" s="73"/>
    </row>
    <row r="19" spans="1:10" ht="17">
      <c r="A19" s="47"/>
      <c r="B19" s="83" t="s">
        <v>7</v>
      </c>
      <c r="C19" s="87"/>
      <c r="D19" s="104"/>
      <c r="E19" s="175"/>
      <c r="F19" s="87"/>
      <c r="G19" s="104"/>
      <c r="H19" s="175"/>
      <c r="I19" s="87"/>
      <c r="J19" s="74"/>
    </row>
    <row r="20" spans="1:10" ht="17">
      <c r="A20" s="47"/>
      <c r="B20" s="83" t="s">
        <v>8</v>
      </c>
      <c r="C20" s="87">
        <v>3000</v>
      </c>
      <c r="D20" s="104" t="s">
        <v>105</v>
      </c>
      <c r="E20" s="175"/>
      <c r="F20" s="87"/>
      <c r="G20" s="104"/>
      <c r="H20" s="175"/>
      <c r="I20" s="87"/>
      <c r="J20" s="74"/>
    </row>
    <row r="21" spans="1:10">
      <c r="A21" s="47"/>
      <c r="B21" s="83"/>
      <c r="C21" s="87"/>
      <c r="D21" s="104"/>
      <c r="E21" s="175"/>
      <c r="F21" s="87"/>
      <c r="G21" s="104"/>
      <c r="H21" s="175"/>
      <c r="I21" s="87"/>
      <c r="J21" s="74"/>
    </row>
    <row r="22" spans="1:10">
      <c r="A22" s="47"/>
      <c r="B22" s="83"/>
      <c r="C22" s="88"/>
      <c r="D22" s="104"/>
      <c r="E22" s="175"/>
      <c r="F22" s="88"/>
      <c r="G22" s="104"/>
      <c r="H22" s="175"/>
      <c r="I22" s="88"/>
      <c r="J22" s="74"/>
    </row>
    <row r="23" spans="1:10" ht="17">
      <c r="A23" s="47"/>
      <c r="B23" s="89" t="s">
        <v>9</v>
      </c>
      <c r="C23" s="90">
        <f>SUM(C9:C22)</f>
        <v>67554</v>
      </c>
      <c r="D23" s="105"/>
      <c r="E23" s="175"/>
      <c r="F23" s="106">
        <f>SUM(F9:F22)</f>
        <v>0</v>
      </c>
      <c r="G23" s="111"/>
      <c r="H23" s="175"/>
      <c r="I23" s="112">
        <f>SUM(I9:I22)</f>
        <v>0</v>
      </c>
      <c r="J23" s="76"/>
    </row>
    <row r="24" spans="1:10" ht="17">
      <c r="A24" s="47"/>
      <c r="B24" s="91" t="s">
        <v>79</v>
      </c>
      <c r="C24" s="92"/>
      <c r="D24" s="107"/>
      <c r="E24" s="176"/>
      <c r="F24" s="92"/>
      <c r="G24" s="107"/>
      <c r="H24" s="176"/>
      <c r="I24" s="92"/>
      <c r="J24" s="151"/>
    </row>
    <row r="25" spans="1:10" ht="17">
      <c r="A25" s="47"/>
      <c r="B25" s="83" t="s">
        <v>10</v>
      </c>
      <c r="C25" s="88"/>
      <c r="D25" s="195" t="s">
        <v>100</v>
      </c>
      <c r="E25" s="175"/>
      <c r="F25" s="88"/>
      <c r="G25" s="108"/>
      <c r="H25" s="175"/>
      <c r="I25" s="88"/>
      <c r="J25" s="77"/>
    </row>
    <row r="26" spans="1:10" ht="17">
      <c r="A26" s="47"/>
      <c r="B26" s="83" t="s">
        <v>12</v>
      </c>
      <c r="C26" s="88"/>
      <c r="D26" s="195" t="s">
        <v>99</v>
      </c>
      <c r="E26" s="175"/>
      <c r="F26" s="88"/>
      <c r="G26" s="108"/>
      <c r="H26" s="175"/>
      <c r="I26" s="88"/>
      <c r="J26" s="77"/>
    </row>
    <row r="27" spans="1:10" ht="17">
      <c r="A27" s="47"/>
      <c r="B27" s="85" t="s">
        <v>77</v>
      </c>
      <c r="C27" s="87"/>
      <c r="D27" s="104" t="s">
        <v>98</v>
      </c>
      <c r="E27" s="175"/>
      <c r="F27" s="87"/>
      <c r="G27" s="104"/>
      <c r="H27" s="175"/>
      <c r="I27" s="87"/>
      <c r="J27" s="74"/>
    </row>
    <row r="28" spans="1:10">
      <c r="A28" s="47"/>
      <c r="B28" s="93" t="s">
        <v>86</v>
      </c>
      <c r="C28" s="88"/>
      <c r="D28" s="104"/>
      <c r="E28" s="175"/>
      <c r="F28" s="88"/>
      <c r="G28" s="104"/>
      <c r="H28" s="175"/>
      <c r="I28" s="88"/>
      <c r="J28" s="74"/>
    </row>
    <row r="29" spans="1:10" ht="17">
      <c r="A29" s="47"/>
      <c r="B29" s="83" t="s">
        <v>11</v>
      </c>
      <c r="C29" s="88"/>
      <c r="D29" s="101"/>
      <c r="E29" s="173"/>
      <c r="F29" s="88"/>
      <c r="G29" s="101"/>
      <c r="H29" s="173"/>
      <c r="I29" s="88"/>
      <c r="J29" s="72"/>
    </row>
    <row r="30" spans="1:10" ht="17">
      <c r="A30" s="47"/>
      <c r="B30" s="83" t="s">
        <v>76</v>
      </c>
      <c r="C30" s="88"/>
      <c r="D30" s="104"/>
      <c r="E30" s="175"/>
      <c r="F30" s="88"/>
      <c r="G30" s="104"/>
      <c r="H30" s="175"/>
      <c r="I30" s="88"/>
      <c r="J30" s="74"/>
    </row>
    <row r="31" spans="1:10" ht="17">
      <c r="A31" s="47"/>
      <c r="B31" s="83" t="s">
        <v>85</v>
      </c>
      <c r="C31" s="88"/>
      <c r="D31" s="104"/>
      <c r="E31" s="175"/>
      <c r="F31" s="88"/>
      <c r="G31" s="104"/>
      <c r="H31" s="175"/>
      <c r="I31" s="88"/>
      <c r="J31" s="74"/>
    </row>
    <row r="32" spans="1:10">
      <c r="A32" s="47"/>
      <c r="B32" s="83"/>
      <c r="C32" s="88"/>
      <c r="D32" s="104"/>
      <c r="E32" s="175"/>
      <c r="F32" s="88"/>
      <c r="G32" s="104"/>
      <c r="H32" s="175"/>
      <c r="I32" s="88"/>
      <c r="J32" s="74"/>
    </row>
    <row r="33" spans="1:10">
      <c r="A33" s="47"/>
      <c r="B33" s="83"/>
      <c r="C33" s="87"/>
      <c r="D33" s="104"/>
      <c r="E33" s="175"/>
      <c r="F33" s="87"/>
      <c r="G33" s="104"/>
      <c r="H33" s="175"/>
      <c r="I33" s="87"/>
      <c r="J33" s="74"/>
    </row>
    <row r="34" spans="1:10" ht="17">
      <c r="A34" s="47"/>
      <c r="B34" s="89" t="s">
        <v>9</v>
      </c>
      <c r="C34" s="90">
        <v>123078</v>
      </c>
      <c r="D34" s="105"/>
      <c r="E34" s="175"/>
      <c r="F34" s="106">
        <f>SUM(F25:F33)</f>
        <v>0</v>
      </c>
      <c r="G34" s="111"/>
      <c r="H34" s="175"/>
      <c r="I34" s="112">
        <f>SUM(I25:I33)</f>
        <v>0</v>
      </c>
      <c r="J34" s="76"/>
    </row>
    <row r="35" spans="1:10" ht="17">
      <c r="A35" s="47"/>
      <c r="B35" s="91" t="s">
        <v>80</v>
      </c>
      <c r="C35" s="92"/>
      <c r="D35" s="107"/>
      <c r="E35" s="176"/>
      <c r="F35" s="92"/>
      <c r="G35" s="107"/>
      <c r="H35" s="176"/>
      <c r="I35" s="92"/>
      <c r="J35" s="151"/>
    </row>
    <row r="36" spans="1:10" ht="17">
      <c r="A36" s="47"/>
      <c r="B36" s="83" t="s">
        <v>70</v>
      </c>
      <c r="C36" s="88"/>
      <c r="D36" s="101"/>
      <c r="E36" s="173"/>
      <c r="F36" s="88"/>
      <c r="G36" s="101"/>
      <c r="H36" s="173"/>
      <c r="I36" s="88"/>
      <c r="J36" s="72"/>
    </row>
    <row r="37" spans="1:10" ht="17">
      <c r="A37" s="47"/>
      <c r="B37" s="83" t="s">
        <v>71</v>
      </c>
      <c r="C37" s="88"/>
      <c r="D37" s="101"/>
      <c r="E37" s="173"/>
      <c r="F37" s="88"/>
      <c r="G37" s="101"/>
      <c r="H37" s="173"/>
      <c r="I37" s="88"/>
      <c r="J37" s="72"/>
    </row>
    <row r="38" spans="1:10" ht="17">
      <c r="A38" s="47"/>
      <c r="B38" s="83" t="s">
        <v>13</v>
      </c>
      <c r="C38" s="88">
        <v>1200</v>
      </c>
      <c r="D38" s="101" t="s">
        <v>96</v>
      </c>
      <c r="E38" s="173"/>
      <c r="F38" s="88"/>
      <c r="G38" s="101"/>
      <c r="H38" s="173"/>
      <c r="I38" s="88"/>
      <c r="J38" s="72"/>
    </row>
    <row r="39" spans="1:10" ht="17">
      <c r="A39" s="47"/>
      <c r="B39" s="83" t="s">
        <v>14</v>
      </c>
      <c r="C39" s="88"/>
      <c r="D39" s="101"/>
      <c r="E39" s="173"/>
      <c r="F39" s="88"/>
      <c r="G39" s="101"/>
      <c r="H39" s="173"/>
      <c r="I39" s="88"/>
      <c r="J39" s="72"/>
    </row>
    <row r="40" spans="1:10" ht="17">
      <c r="A40" s="47"/>
      <c r="B40" s="83" t="s">
        <v>85</v>
      </c>
      <c r="C40" s="88"/>
      <c r="D40" s="101"/>
      <c r="E40" s="173"/>
      <c r="F40" s="88"/>
      <c r="G40" s="101"/>
      <c r="H40" s="173"/>
      <c r="I40" s="88"/>
      <c r="J40" s="72"/>
    </row>
    <row r="41" spans="1:10" ht="17">
      <c r="A41" s="47"/>
      <c r="B41" s="83" t="s">
        <v>106</v>
      </c>
      <c r="C41" s="88">
        <v>1200</v>
      </c>
      <c r="D41" s="101" t="s">
        <v>107</v>
      </c>
      <c r="E41" s="173"/>
      <c r="F41" s="88"/>
      <c r="G41" s="101"/>
      <c r="H41" s="173"/>
      <c r="I41" s="88"/>
      <c r="J41" s="72"/>
    </row>
    <row r="42" spans="1:10">
      <c r="A42" s="47"/>
      <c r="B42" s="83"/>
      <c r="C42" s="88"/>
      <c r="D42" s="104"/>
      <c r="E42" s="175"/>
      <c r="F42" s="88"/>
      <c r="G42" s="104"/>
      <c r="H42" s="175"/>
      <c r="I42" s="88"/>
      <c r="J42" s="74"/>
    </row>
    <row r="43" spans="1:10" ht="17">
      <c r="A43" s="47"/>
      <c r="B43" s="89" t="s">
        <v>9</v>
      </c>
      <c r="C43" s="90">
        <f>SUM(C36:C42)</f>
        <v>2400</v>
      </c>
      <c r="D43" s="105"/>
      <c r="E43" s="175"/>
      <c r="F43" s="106"/>
      <c r="G43" s="111"/>
      <c r="H43" s="175"/>
      <c r="I43" s="112"/>
      <c r="J43" s="76"/>
    </row>
    <row r="44" spans="1:10" ht="17">
      <c r="A44" s="47"/>
      <c r="B44" s="91" t="s">
        <v>82</v>
      </c>
      <c r="C44" s="92"/>
      <c r="D44" s="107"/>
      <c r="E44" s="176"/>
      <c r="F44" s="92"/>
      <c r="G44" s="107"/>
      <c r="H44" s="176"/>
      <c r="I44" s="92"/>
      <c r="J44" s="151"/>
    </row>
    <row r="45" spans="1:10" ht="17">
      <c r="A45" s="47"/>
      <c r="B45" s="83" t="s">
        <v>15</v>
      </c>
      <c r="C45" s="94"/>
      <c r="D45" s="104"/>
      <c r="E45" s="175"/>
      <c r="F45" s="94"/>
      <c r="G45" s="104"/>
      <c r="H45" s="175"/>
      <c r="I45" s="94"/>
      <c r="J45" s="74"/>
    </row>
    <row r="46" spans="1:10" s="130" customFormat="1" ht="17">
      <c r="A46" s="152"/>
      <c r="B46" s="129" t="s">
        <v>9</v>
      </c>
      <c r="C46" s="90">
        <f>SUM(C45)</f>
        <v>0</v>
      </c>
      <c r="D46" s="105"/>
      <c r="E46" s="175"/>
      <c r="F46" s="106"/>
      <c r="G46" s="111"/>
      <c r="H46" s="175"/>
      <c r="I46" s="112"/>
      <c r="J46" s="76"/>
    </row>
    <row r="47" spans="1:10" s="134" customFormat="1" ht="18">
      <c r="A47" s="153"/>
      <c r="B47" s="131" t="s">
        <v>83</v>
      </c>
      <c r="C47" s="132">
        <f>SUM(C23,C34,C43,C46)</f>
        <v>193032</v>
      </c>
      <c r="D47" s="133"/>
      <c r="E47" s="177"/>
      <c r="F47" s="132">
        <f>SUM(F23,F34,F43,F46)</f>
        <v>0</v>
      </c>
      <c r="G47" s="133"/>
      <c r="H47" s="177"/>
      <c r="I47" s="132">
        <f>SUM(I23,I34,I43,I46)</f>
        <v>0</v>
      </c>
      <c r="J47" s="154"/>
    </row>
    <row r="48" spans="1:10" s="58" customFormat="1" thickBot="1">
      <c r="A48" s="57"/>
      <c r="B48" s="95" t="s">
        <v>72</v>
      </c>
      <c r="C48" s="96">
        <f>C8-C47</f>
        <v>2.9999999998835847E-2</v>
      </c>
      <c r="D48" s="109"/>
      <c r="E48" s="178"/>
      <c r="F48" s="96">
        <f>F8-F47</f>
        <v>0</v>
      </c>
      <c r="G48" s="109"/>
      <c r="H48" s="178"/>
      <c r="I48" s="96">
        <f>I8-I47</f>
        <v>0</v>
      </c>
      <c r="J48" s="78"/>
    </row>
    <row r="49" spans="1:10" ht="12" customHeight="1" thickBot="1">
      <c r="A49" s="45"/>
      <c r="B49" s="63"/>
      <c r="C49" s="49"/>
      <c r="D49" s="49"/>
      <c r="E49" s="179"/>
      <c r="F49" s="49"/>
      <c r="G49" s="49"/>
      <c r="H49" s="179"/>
      <c r="I49" s="49"/>
      <c r="J49" s="49"/>
    </row>
    <row r="50" spans="1:10" ht="32">
      <c r="A50" s="54"/>
      <c r="B50" s="118" t="s">
        <v>89</v>
      </c>
      <c r="C50" s="189" t="s">
        <v>87</v>
      </c>
      <c r="D50" s="155" t="s">
        <v>73</v>
      </c>
      <c r="E50" s="180"/>
      <c r="F50" s="156" t="s">
        <v>87</v>
      </c>
      <c r="G50" s="157" t="s">
        <v>74</v>
      </c>
      <c r="H50" s="180"/>
      <c r="I50" s="158" t="s">
        <v>87</v>
      </c>
      <c r="J50" s="159" t="s">
        <v>75</v>
      </c>
    </row>
    <row r="51" spans="1:10" ht="17">
      <c r="A51" s="55"/>
      <c r="B51" s="119" t="s">
        <v>79</v>
      </c>
      <c r="C51" s="128">
        <f>D4</f>
        <v>2500.5100000000002</v>
      </c>
      <c r="D51" s="117" t="s">
        <v>0</v>
      </c>
      <c r="E51" s="169"/>
      <c r="F51" s="127">
        <f>G4</f>
        <v>0</v>
      </c>
      <c r="G51" s="113" t="s">
        <v>0</v>
      </c>
      <c r="H51" s="169"/>
      <c r="I51" s="126">
        <f>J4</f>
        <v>0</v>
      </c>
      <c r="J51" s="67" t="s">
        <v>0</v>
      </c>
    </row>
    <row r="52" spans="1:10" ht="68">
      <c r="A52" s="56"/>
      <c r="B52" s="120" t="s">
        <v>16</v>
      </c>
      <c r="C52" s="192">
        <v>2126</v>
      </c>
      <c r="D52" s="114" t="s">
        <v>102</v>
      </c>
      <c r="E52" s="175"/>
      <c r="F52" s="122"/>
      <c r="G52" s="114"/>
      <c r="H52" s="175"/>
      <c r="I52" s="122"/>
      <c r="J52" s="79"/>
    </row>
    <row r="53" spans="1:10" ht="17">
      <c r="A53" s="56"/>
      <c r="B53" s="120" t="s">
        <v>17</v>
      </c>
      <c r="C53" s="193">
        <v>375</v>
      </c>
      <c r="D53" s="116" t="s">
        <v>101</v>
      </c>
      <c r="E53" s="175"/>
      <c r="F53" s="115"/>
      <c r="G53" s="116"/>
      <c r="H53" s="175"/>
      <c r="I53" s="115"/>
      <c r="J53" s="80"/>
    </row>
    <row r="54" spans="1:10" s="130" customFormat="1" ht="17">
      <c r="A54" s="160"/>
      <c r="B54" s="135" t="s">
        <v>18</v>
      </c>
      <c r="C54" s="136"/>
      <c r="D54" s="137"/>
      <c r="E54" s="175"/>
      <c r="F54" s="136"/>
      <c r="G54" s="137"/>
      <c r="H54" s="175"/>
      <c r="I54" s="136"/>
      <c r="J54" s="161"/>
    </row>
    <row r="55" spans="1:10" s="134" customFormat="1" ht="18">
      <c r="A55" s="162"/>
      <c r="B55" s="138" t="s">
        <v>84</v>
      </c>
      <c r="C55" s="139">
        <f>SUM(C52:C54)</f>
        <v>2501</v>
      </c>
      <c r="D55" s="140"/>
      <c r="E55" s="177"/>
      <c r="F55" s="139">
        <f t="shared" ref="F55:I55" si="0">SUM(F52:F54)</f>
        <v>0</v>
      </c>
      <c r="G55" s="140"/>
      <c r="H55" s="177"/>
      <c r="I55" s="139">
        <f t="shared" si="0"/>
        <v>0</v>
      </c>
      <c r="J55" s="163"/>
    </row>
    <row r="56" spans="1:10" s="141" customFormat="1" thickBot="1">
      <c r="A56" s="59"/>
      <c r="B56" s="142" t="s">
        <v>72</v>
      </c>
      <c r="C56" s="143">
        <f>SUM(C51-C55)</f>
        <v>-0.48999999999978172</v>
      </c>
      <c r="D56" s="144"/>
      <c r="E56" s="181"/>
      <c r="F56" s="143">
        <f>SUM(F51-F55)</f>
        <v>0</v>
      </c>
      <c r="G56" s="144"/>
      <c r="H56" s="181"/>
      <c r="I56" s="143">
        <f>SUM(I51-I55)</f>
        <v>0</v>
      </c>
      <c r="J56" s="164"/>
    </row>
  </sheetData>
  <pageMargins left="0.25" right="0.25" top="0.5" bottom="0.5" header="0.3" footer="0.3"/>
  <pageSetup scale="6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C3"/>
  <sheetViews>
    <sheetView workbookViewId="0">
      <selection activeCell="B41" sqref="B41"/>
    </sheetView>
  </sheetViews>
  <sheetFormatPr baseColWidth="10" defaultColWidth="8.83203125" defaultRowHeight="16"/>
  <cols>
    <col min="1" max="1" width="40.83203125" customWidth="1"/>
    <col min="3" max="3" width="62" customWidth="1"/>
  </cols>
  <sheetData>
    <row r="3" spans="1:3" ht="51">
      <c r="A3" s="83" t="s">
        <v>8</v>
      </c>
      <c r="B3" s="87">
        <v>3000</v>
      </c>
      <c r="C3" s="10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zoomScale="109" zoomScaleNormal="110" zoomScalePageLayoutView="110" workbookViewId="0">
      <selection activeCell="H49" sqref="H49"/>
    </sheetView>
  </sheetViews>
  <sheetFormatPr baseColWidth="10" defaultColWidth="10.83203125" defaultRowHeight="15"/>
  <cols>
    <col min="1" max="1" width="14.5" style="2" customWidth="1"/>
    <col min="2" max="9" width="10.83203125" style="2"/>
    <col min="10" max="10" width="12.1640625" style="2" bestFit="1" customWidth="1"/>
    <col min="11" max="11" width="10.83203125" style="2"/>
    <col min="12" max="16384" width="10.83203125" style="7"/>
  </cols>
  <sheetData>
    <row r="1" spans="1:8">
      <c r="A1" s="1" t="s">
        <v>20</v>
      </c>
    </row>
    <row r="2" spans="1:8">
      <c r="B2" s="3"/>
      <c r="G2" s="4"/>
    </row>
    <row r="3" spans="1:8">
      <c r="A3" s="1" t="s">
        <v>21</v>
      </c>
      <c r="B3" s="1"/>
      <c r="C3" s="7"/>
      <c r="D3" s="7"/>
      <c r="E3" s="7"/>
      <c r="F3" s="7"/>
      <c r="G3" s="7"/>
      <c r="H3" s="7"/>
    </row>
    <row r="4" spans="1:8">
      <c r="A4" s="11">
        <f>139756+53000</f>
        <v>192756</v>
      </c>
      <c r="B4" s="1" t="s">
        <v>22</v>
      </c>
      <c r="C4" s="7"/>
      <c r="D4" s="7"/>
      <c r="E4" s="7"/>
      <c r="F4" s="7"/>
      <c r="G4" s="7"/>
      <c r="H4" s="7"/>
    </row>
    <row r="5" spans="1:8">
      <c r="A5" s="11">
        <f>25000</f>
        <v>25000</v>
      </c>
      <c r="B5" s="1" t="s">
        <v>23</v>
      </c>
      <c r="C5" s="7"/>
      <c r="D5" s="7"/>
      <c r="E5" s="7"/>
      <c r="F5" s="7"/>
      <c r="G5" s="7"/>
      <c r="H5" s="7"/>
    </row>
    <row r="6" spans="1:8">
      <c r="A6" s="11">
        <f>467</f>
        <v>467</v>
      </c>
      <c r="B6" s="1" t="s">
        <v>24</v>
      </c>
      <c r="C6" s="7"/>
      <c r="D6" s="7"/>
      <c r="E6" s="7"/>
      <c r="F6" s="7"/>
      <c r="G6" s="7"/>
      <c r="H6" s="7"/>
    </row>
    <row r="7" spans="1:8">
      <c r="A7" s="11"/>
      <c r="B7" s="1"/>
      <c r="C7" s="7"/>
      <c r="D7" s="7"/>
      <c r="E7" s="7"/>
      <c r="F7" s="7"/>
      <c r="G7" s="7"/>
      <c r="H7" s="7"/>
    </row>
    <row r="8" spans="1:8">
      <c r="A8" s="1"/>
      <c r="B8" s="1"/>
      <c r="C8" s="7"/>
      <c r="D8" s="7"/>
      <c r="E8" s="7"/>
      <c r="F8" s="7"/>
      <c r="G8" s="7"/>
      <c r="H8" s="7"/>
    </row>
    <row r="9" spans="1:8">
      <c r="A9" s="10">
        <f>2486.72</f>
        <v>2486.7199999999998</v>
      </c>
      <c r="B9" s="1" t="s">
        <v>25</v>
      </c>
      <c r="C9" s="7"/>
      <c r="D9" s="7"/>
      <c r="E9" s="7"/>
      <c r="F9" s="7"/>
      <c r="G9" s="7"/>
      <c r="H9" s="7"/>
    </row>
    <row r="10" spans="1:8">
      <c r="A10" s="6">
        <f>3*75.36</f>
        <v>226.07999999999998</v>
      </c>
      <c r="B10" s="5" t="s">
        <v>26</v>
      </c>
      <c r="C10" s="7"/>
      <c r="D10" s="7"/>
      <c r="E10" s="7"/>
      <c r="F10" s="7"/>
      <c r="G10" s="7"/>
      <c r="H10" s="7"/>
    </row>
    <row r="11" spans="1:8">
      <c r="A11" s="6">
        <f>3*75.36</f>
        <v>226.07999999999998</v>
      </c>
      <c r="B11" s="9" t="s">
        <v>27</v>
      </c>
      <c r="C11" s="7"/>
      <c r="D11" s="7"/>
      <c r="E11" s="7"/>
      <c r="F11" s="7"/>
      <c r="G11" s="7"/>
      <c r="H11" s="7"/>
    </row>
    <row r="12" spans="1:8">
      <c r="A12" s="6">
        <f>2*75.36</f>
        <v>150.72</v>
      </c>
      <c r="B12" s="9" t="s">
        <v>28</v>
      </c>
      <c r="C12" s="7"/>
      <c r="D12" s="7"/>
      <c r="E12" s="7"/>
      <c r="F12" s="7"/>
      <c r="G12" s="7"/>
      <c r="H12" s="7"/>
    </row>
    <row r="13" spans="1:8">
      <c r="A13" s="6">
        <f>5*75.36</f>
        <v>376.8</v>
      </c>
      <c r="B13" s="9" t="s">
        <v>29</v>
      </c>
      <c r="C13" s="7"/>
      <c r="D13" s="7"/>
      <c r="E13" s="7"/>
      <c r="F13" s="7"/>
      <c r="G13" s="7"/>
      <c r="H13" s="7"/>
    </row>
    <row r="14" spans="1:8">
      <c r="A14" s="8">
        <f>4*75.36</f>
        <v>301.44</v>
      </c>
      <c r="B14" s="9" t="s">
        <v>30</v>
      </c>
      <c r="C14" s="7"/>
      <c r="D14" s="7"/>
      <c r="E14" s="7"/>
      <c r="F14" s="7"/>
      <c r="G14" s="7"/>
      <c r="H14" s="7"/>
    </row>
    <row r="15" spans="1:8">
      <c r="A15" s="28">
        <f>27*75.36</f>
        <v>2034.72</v>
      </c>
      <c r="B15" s="25" t="s">
        <v>31</v>
      </c>
      <c r="C15" s="7"/>
      <c r="D15" s="7"/>
      <c r="E15" s="7"/>
      <c r="F15" s="7"/>
      <c r="G15" s="7"/>
      <c r="H15" s="7"/>
    </row>
    <row r="16" spans="1:8">
      <c r="A16" s="12">
        <f>SUM(A9:A15)</f>
        <v>5802.5599999999995</v>
      </c>
      <c r="B16" s="13" t="s">
        <v>19</v>
      </c>
      <c r="C16" s="7"/>
      <c r="D16" s="7"/>
      <c r="E16" s="7"/>
      <c r="F16" s="7"/>
      <c r="G16" s="7"/>
      <c r="H16" s="7"/>
    </row>
    <row r="17" spans="1:8">
      <c r="A17" s="10"/>
      <c r="C17" s="7"/>
      <c r="D17" s="7"/>
      <c r="E17" s="7"/>
      <c r="F17" s="7"/>
      <c r="G17" s="7"/>
      <c r="H17" s="7"/>
    </row>
    <row r="18" spans="1:8">
      <c r="A18" s="10"/>
      <c r="C18" s="7"/>
      <c r="D18" s="7"/>
      <c r="E18" s="7"/>
      <c r="F18" s="7"/>
      <c r="G18" s="7"/>
      <c r="H18" s="7"/>
    </row>
    <row r="19" spans="1:8">
      <c r="A19" s="10"/>
      <c r="C19" s="7"/>
      <c r="D19" s="7"/>
      <c r="E19" s="7"/>
      <c r="F19" s="7"/>
      <c r="G19" s="7"/>
      <c r="H19" s="7"/>
    </row>
    <row r="20" spans="1:8">
      <c r="A20" s="10">
        <f>19590.27</f>
        <v>19590.27</v>
      </c>
      <c r="B20" s="1" t="s">
        <v>32</v>
      </c>
      <c r="C20" s="7"/>
      <c r="D20" s="7"/>
      <c r="E20" s="7"/>
      <c r="F20" s="7"/>
      <c r="G20" s="7"/>
      <c r="H20" s="7"/>
    </row>
    <row r="21" spans="1:8">
      <c r="A21" s="31">
        <f>516.79</f>
        <v>516.79</v>
      </c>
      <c r="B21" s="14" t="s">
        <v>33</v>
      </c>
      <c r="C21" s="14" t="s">
        <v>34</v>
      </c>
      <c r="D21" s="7"/>
      <c r="E21" s="7"/>
      <c r="F21" s="7"/>
      <c r="G21" s="7"/>
      <c r="H21" s="7"/>
    </row>
    <row r="22" spans="1:8">
      <c r="A22" s="31">
        <v>193.2</v>
      </c>
      <c r="B22" s="14" t="s">
        <v>35</v>
      </c>
      <c r="C22" s="14" t="s">
        <v>34</v>
      </c>
      <c r="D22" s="7"/>
      <c r="E22" s="7"/>
      <c r="F22" s="7"/>
      <c r="G22" s="7"/>
      <c r="H22" s="7"/>
    </row>
    <row r="23" spans="1:8">
      <c r="A23" s="31">
        <f>148.38</f>
        <v>148.38</v>
      </c>
      <c r="B23" s="14" t="s">
        <v>36</v>
      </c>
      <c r="C23" s="14" t="s">
        <v>37</v>
      </c>
      <c r="D23" s="7"/>
      <c r="E23" s="37" t="s">
        <v>38</v>
      </c>
      <c r="F23" s="7"/>
      <c r="G23" s="7"/>
      <c r="H23" s="7"/>
    </row>
    <row r="24" spans="1:8">
      <c r="A24" s="31">
        <f>966.67</f>
        <v>966.67</v>
      </c>
      <c r="B24" s="14" t="s">
        <v>39</v>
      </c>
      <c r="C24" s="14" t="s">
        <v>40</v>
      </c>
      <c r="D24" s="7"/>
      <c r="E24" s="7"/>
      <c r="F24" s="7"/>
      <c r="G24" s="7"/>
      <c r="H24" s="7"/>
    </row>
    <row r="25" spans="1:8">
      <c r="A25" s="43">
        <f>191.7+143.7+143.7</f>
        <v>479.09999999999997</v>
      </c>
      <c r="B25" s="15" t="s">
        <v>41</v>
      </c>
      <c r="C25" s="14" t="s">
        <v>42</v>
      </c>
      <c r="D25" s="7"/>
      <c r="E25" s="7"/>
      <c r="F25" s="7"/>
      <c r="G25" s="7"/>
      <c r="H25" s="7"/>
    </row>
    <row r="26" spans="1:8">
      <c r="A26" s="12">
        <f>SUM(A20:A25)</f>
        <v>21894.41</v>
      </c>
      <c r="B26" s="13" t="s">
        <v>19</v>
      </c>
      <c r="C26" s="7"/>
      <c r="D26" s="7"/>
      <c r="E26" s="7"/>
      <c r="F26" s="7"/>
      <c r="G26" s="7"/>
      <c r="H26" s="7"/>
    </row>
    <row r="27" spans="1:8">
      <c r="A27" s="10"/>
      <c r="C27" s="7"/>
      <c r="D27" s="7"/>
      <c r="E27" s="7"/>
      <c r="F27" s="7"/>
      <c r="G27" s="7"/>
      <c r="H27" s="7"/>
    </row>
    <row r="28" spans="1:8">
      <c r="C28" s="7"/>
      <c r="D28" s="7"/>
      <c r="E28" s="7"/>
      <c r="F28" s="7"/>
      <c r="G28" s="7"/>
      <c r="H28" s="7"/>
    </row>
    <row r="29" spans="1:8">
      <c r="A29" s="10">
        <f>2066</f>
        <v>2066</v>
      </c>
      <c r="B29" s="2" t="s">
        <v>43</v>
      </c>
      <c r="C29" s="7"/>
      <c r="D29" s="7"/>
      <c r="E29" s="7"/>
      <c r="F29" s="7"/>
      <c r="G29" s="7"/>
      <c r="H29" s="7"/>
    </row>
    <row r="30" spans="1:8">
      <c r="A30" s="32">
        <f>330</f>
        <v>330</v>
      </c>
      <c r="B30" s="15" t="s">
        <v>44</v>
      </c>
      <c r="C30" s="7"/>
      <c r="D30" s="7"/>
      <c r="E30" s="7"/>
      <c r="F30" s="7"/>
      <c r="G30" s="7"/>
      <c r="H30" s="7"/>
    </row>
    <row r="31" spans="1:8">
      <c r="A31" s="33">
        <f>38</f>
        <v>38</v>
      </c>
      <c r="B31" s="15" t="s">
        <v>45</v>
      </c>
      <c r="C31" s="7"/>
      <c r="D31" s="7"/>
      <c r="E31" s="7"/>
      <c r="F31" s="37" t="s">
        <v>46</v>
      </c>
      <c r="G31" s="7"/>
      <c r="H31" s="7"/>
    </row>
    <row r="32" spans="1:8">
      <c r="A32" s="29">
        <f>199.5</f>
        <v>199.5</v>
      </c>
      <c r="B32" s="15" t="s">
        <v>47</v>
      </c>
      <c r="C32" s="7"/>
      <c r="D32" s="7"/>
      <c r="E32" s="7"/>
      <c r="F32" s="7"/>
      <c r="G32" s="7"/>
      <c r="H32" s="7"/>
    </row>
    <row r="33" spans="1:8">
      <c r="A33" s="12">
        <f>SUM(A29:A32)</f>
        <v>2633.5</v>
      </c>
      <c r="B33" s="13" t="s">
        <v>19</v>
      </c>
      <c r="C33" s="7"/>
      <c r="D33" s="7"/>
      <c r="E33" s="7"/>
      <c r="F33" s="7"/>
      <c r="G33" s="7"/>
      <c r="H33" s="7"/>
    </row>
    <row r="34" spans="1:8">
      <c r="A34" s="10"/>
      <c r="C34" s="7"/>
      <c r="D34" s="7"/>
      <c r="E34" s="7"/>
      <c r="F34" s="7"/>
      <c r="G34" s="7"/>
      <c r="H34" s="7"/>
    </row>
    <row r="35" spans="1:8">
      <c r="A35" s="10"/>
      <c r="C35" s="7"/>
      <c r="D35" s="7"/>
      <c r="E35" s="7"/>
      <c r="F35" s="7"/>
      <c r="G35" s="7"/>
      <c r="H35" s="7"/>
    </row>
    <row r="36" spans="1:8">
      <c r="A36" s="10">
        <f>10570.1</f>
        <v>10570.1</v>
      </c>
      <c r="B36" s="1" t="s">
        <v>48</v>
      </c>
      <c r="C36" s="7"/>
      <c r="D36" s="7"/>
      <c r="E36" s="7"/>
      <c r="F36" s="7"/>
      <c r="G36" s="7"/>
      <c r="H36" s="7"/>
    </row>
    <row r="37" spans="1:8">
      <c r="A37" s="16">
        <f>2125</f>
        <v>2125</v>
      </c>
      <c r="B37" s="15" t="s">
        <v>49</v>
      </c>
      <c r="C37" s="7"/>
      <c r="D37" s="7"/>
      <c r="E37" s="7"/>
      <c r="F37" s="7"/>
      <c r="G37" s="7"/>
      <c r="H37" s="7"/>
    </row>
    <row r="38" spans="1:8">
      <c r="A38" s="16">
        <f>140*3</f>
        <v>420</v>
      </c>
      <c r="B38" s="15" t="s">
        <v>50</v>
      </c>
      <c r="C38" s="7"/>
      <c r="D38" s="7"/>
      <c r="E38" s="7"/>
      <c r="F38" s="7"/>
      <c r="G38" s="7"/>
      <c r="H38" s="7"/>
    </row>
    <row r="39" spans="1:8">
      <c r="A39" s="16">
        <f>69*1.66*5</f>
        <v>572.69999999999993</v>
      </c>
      <c r="B39" s="15" t="s">
        <v>51</v>
      </c>
      <c r="C39" s="7"/>
      <c r="D39" s="7"/>
      <c r="E39" s="7"/>
      <c r="F39" s="7"/>
      <c r="G39" s="7"/>
      <c r="H39" s="7"/>
    </row>
    <row r="40" spans="1:8">
      <c r="A40" s="16">
        <f>270*2*0.535</f>
        <v>288.90000000000003</v>
      </c>
      <c r="B40" s="15" t="s">
        <v>52</v>
      </c>
      <c r="C40" s="7"/>
      <c r="D40" s="7"/>
      <c r="E40" s="7"/>
      <c r="F40" s="7"/>
      <c r="G40" s="7"/>
      <c r="H40" s="7"/>
    </row>
    <row r="41" spans="1:8">
      <c r="A41" s="16">
        <f>375.7</f>
        <v>375.7</v>
      </c>
      <c r="B41" s="15" t="s">
        <v>53</v>
      </c>
      <c r="C41" s="7"/>
      <c r="D41" s="7"/>
      <c r="E41" s="7"/>
      <c r="F41" s="7"/>
      <c r="G41" s="7"/>
      <c r="H41" s="7"/>
    </row>
    <row r="42" spans="1:8">
      <c r="A42" s="34">
        <f>50*21.56</f>
        <v>1078</v>
      </c>
      <c r="B42" s="18" t="s">
        <v>54</v>
      </c>
      <c r="C42" s="26"/>
      <c r="D42" s="27"/>
      <c r="E42" s="27"/>
      <c r="F42" s="27"/>
      <c r="G42" s="27"/>
      <c r="H42" s="7"/>
    </row>
    <row r="43" spans="1:8">
      <c r="A43" s="34">
        <f>28*33.95</f>
        <v>950.60000000000014</v>
      </c>
      <c r="B43" s="18" t="s">
        <v>55</v>
      </c>
      <c r="C43" s="26"/>
      <c r="D43" s="27"/>
      <c r="E43" s="27"/>
      <c r="F43" s="27"/>
      <c r="G43" s="27"/>
      <c r="H43" s="7"/>
    </row>
    <row r="44" spans="1:8">
      <c r="A44" s="17">
        <f>500</f>
        <v>500</v>
      </c>
      <c r="B44" s="15" t="s">
        <v>56</v>
      </c>
      <c r="C44" s="27"/>
      <c r="D44" s="27"/>
      <c r="E44" s="27"/>
      <c r="F44" s="27"/>
      <c r="G44" s="27"/>
      <c r="H44" s="7"/>
    </row>
    <row r="45" spans="1:8">
      <c r="A45" s="20">
        <f>SUM(A36:A44)</f>
        <v>16881</v>
      </c>
      <c r="B45" s="13" t="s">
        <v>19</v>
      </c>
      <c r="F45" s="27"/>
      <c r="G45" s="27"/>
      <c r="H45" s="7"/>
    </row>
    <row r="46" spans="1:8">
      <c r="F46" s="27"/>
      <c r="G46" s="27"/>
      <c r="H46" s="7"/>
    </row>
    <row r="47" spans="1:8">
      <c r="F47" s="27"/>
      <c r="G47" s="27"/>
      <c r="H47" s="7"/>
    </row>
    <row r="48" spans="1:8">
      <c r="A48" s="2">
        <f>450</f>
        <v>450</v>
      </c>
      <c r="B48" s="2" t="s">
        <v>57</v>
      </c>
      <c r="F48" s="27"/>
      <c r="G48" s="27"/>
      <c r="H48" s="7"/>
    </row>
    <row r="49" spans="1:11">
      <c r="A49" s="35">
        <f>150</f>
        <v>150</v>
      </c>
      <c r="B49" s="21" t="s">
        <v>58</v>
      </c>
      <c r="C49" s="22"/>
      <c r="E49" s="37" t="s">
        <v>46</v>
      </c>
      <c r="F49" s="27"/>
      <c r="G49" s="44">
        <f>1375-450-SUM(A49:A51,A53)</f>
        <v>0</v>
      </c>
      <c r="H49" s="7"/>
    </row>
    <row r="50" spans="1:11">
      <c r="A50" s="35">
        <f>250</f>
        <v>250</v>
      </c>
      <c r="B50" s="21" t="s">
        <v>59</v>
      </c>
      <c r="C50" s="22"/>
      <c r="F50" s="27"/>
      <c r="G50" s="27"/>
      <c r="H50" s="7"/>
    </row>
    <row r="51" spans="1:11">
      <c r="A51" s="36">
        <f>250</f>
        <v>250</v>
      </c>
      <c r="B51" s="23" t="s">
        <v>60</v>
      </c>
      <c r="C51" s="22"/>
      <c r="F51" s="27"/>
      <c r="G51" s="27"/>
      <c r="H51" s="7"/>
    </row>
    <row r="52" spans="1:11" s="42" customFormat="1">
      <c r="A52" s="40">
        <f>150</f>
        <v>150</v>
      </c>
      <c r="B52" s="38" t="s">
        <v>61</v>
      </c>
      <c r="C52" s="39"/>
      <c r="D52" s="39"/>
      <c r="E52" s="39"/>
      <c r="F52" s="41"/>
      <c r="G52" s="41"/>
      <c r="I52" s="39"/>
      <c r="J52" s="39"/>
      <c r="K52" s="39"/>
    </row>
    <row r="53" spans="1:11">
      <c r="A53" s="36">
        <f>275</f>
        <v>275</v>
      </c>
      <c r="B53" s="23" t="s">
        <v>62</v>
      </c>
      <c r="C53" s="22"/>
      <c r="F53" s="27"/>
      <c r="G53" s="27"/>
      <c r="H53" s="7"/>
    </row>
    <row r="54" spans="1:11">
      <c r="A54" s="12">
        <f>SUM(A48:A53)</f>
        <v>1525</v>
      </c>
      <c r="B54" s="12" t="s">
        <v>19</v>
      </c>
      <c r="F54" s="27"/>
      <c r="G54" s="27"/>
      <c r="H54" s="7"/>
    </row>
    <row r="55" spans="1:11">
      <c r="F55" s="27"/>
      <c r="G55" s="27"/>
      <c r="H55" s="7"/>
    </row>
    <row r="56" spans="1:11">
      <c r="F56" s="27"/>
      <c r="G56" s="27"/>
      <c r="H56" s="7"/>
    </row>
    <row r="57" spans="1:11" s="2" customFormat="1">
      <c r="A57" s="19">
        <f>SUM(A4:A6,A16,A26,A33,A45,A54)</f>
        <v>266959.46999999997</v>
      </c>
      <c r="B57" s="2" t="s">
        <v>63</v>
      </c>
      <c r="F57" s="27"/>
      <c r="G57" s="27"/>
      <c r="H57" s="7"/>
    </row>
    <row r="58" spans="1:11" s="2" customFormat="1" ht="13"/>
    <row r="59" spans="1:11" s="2" customFormat="1" ht="13">
      <c r="A59" s="10">
        <f>1511.48</f>
        <v>1511.48</v>
      </c>
      <c r="B59" s="2" t="s">
        <v>64</v>
      </c>
    </row>
    <row r="60" spans="1:11">
      <c r="A60" s="30">
        <f>280320-A57-A59</f>
        <v>11849.050000000028</v>
      </c>
      <c r="B60" s="5" t="s">
        <v>65</v>
      </c>
    </row>
    <row r="61" spans="1:11">
      <c r="A61" s="20">
        <f>A59+A60</f>
        <v>13360.530000000028</v>
      </c>
      <c r="B61" s="12" t="s">
        <v>19</v>
      </c>
      <c r="F61" s="27"/>
      <c r="G61" s="27"/>
      <c r="H61" s="7"/>
    </row>
    <row r="62" spans="1:11">
      <c r="A62" s="27"/>
      <c r="B62" s="27"/>
      <c r="C62" s="27"/>
      <c r="D62" s="27"/>
      <c r="E62" s="27"/>
      <c r="F62" s="27"/>
      <c r="G62" s="27"/>
      <c r="H62" s="7"/>
    </row>
    <row r="63" spans="1:11" s="2" customFormat="1">
      <c r="A63" s="24">
        <f>280320</f>
        <v>280320</v>
      </c>
      <c r="B63" s="7" t="s">
        <v>66</v>
      </c>
      <c r="C63" s="7"/>
      <c r="D63" s="7"/>
      <c r="E63" s="7"/>
      <c r="F63" s="7"/>
      <c r="G63" s="7"/>
      <c r="H63" s="7"/>
    </row>
    <row r="64" spans="1:11" s="2" customFormat="1" ht="1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FY22 Budget Summary</vt:lpstr>
      <vt:lpstr>Prelim changes</vt:lpstr>
      <vt:lpstr>GH Notes</vt:lpstr>
      <vt:lpstr>'FY22 Budget Summary'!Print_Area</vt:lpstr>
    </vt:vector>
  </TitlesOfParts>
  <Manager/>
  <Company>Knox County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Ginnae Harley</dc:creator>
  <cp:keywords/>
  <dc:description/>
  <cp:lastModifiedBy>Microsoft Office User</cp:lastModifiedBy>
  <cp:revision/>
  <cp:lastPrinted>2021-05-17T14:45:00Z</cp:lastPrinted>
  <dcterms:created xsi:type="dcterms:W3CDTF">2012-02-28T15:39:30Z</dcterms:created>
  <dcterms:modified xsi:type="dcterms:W3CDTF">2021-07-26T15:39:34Z</dcterms:modified>
  <cp:category/>
  <cp:contentStatus/>
</cp:coreProperties>
</file>